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6" yWindow="0" windowWidth="21708" windowHeight="4908" firstSheet="1" activeTab="1"/>
  </bookViews>
  <sheets>
    <sheet name="Annual" sheetId="9" state="hidden" r:id="rId1"/>
    <sheet name="Model" sheetId="1" r:id="rId2"/>
    <sheet name="Disclaimer" sheetId="32" r:id="rId3"/>
  </sheets>
  <calcPr calcId="145621"/>
</workbook>
</file>

<file path=xl/calcChain.xml><?xml version="1.0" encoding="utf-8"?>
<calcChain xmlns="http://schemas.openxmlformats.org/spreadsheetml/2006/main">
  <c r="I186" i="1" l="1"/>
  <c r="H186" i="1"/>
  <c r="I168" i="1"/>
  <c r="H168" i="1"/>
  <c r="I72" i="1"/>
  <c r="H72" i="1"/>
  <c r="G153" i="1" l="1"/>
  <c r="G86" i="1" l="1"/>
  <c r="F86" i="1"/>
  <c r="E86" i="1"/>
  <c r="D86" i="1"/>
  <c r="G418" i="1" l="1"/>
  <c r="F418" i="1"/>
  <c r="E418" i="1"/>
  <c r="D418" i="1"/>
  <c r="G299" i="1"/>
  <c r="F299" i="1"/>
  <c r="E299" i="1"/>
  <c r="D299" i="1"/>
  <c r="G298" i="1"/>
  <c r="F298" i="1"/>
  <c r="E298" i="1"/>
  <c r="E293" i="1" s="1"/>
  <c r="D298" i="1"/>
  <c r="G293" i="1" l="1"/>
  <c r="D293" i="1"/>
  <c r="F293" i="1"/>
  <c r="G419" i="1"/>
  <c r="F419" i="1"/>
  <c r="E419" i="1"/>
  <c r="D419" i="1"/>
  <c r="G288" i="1" l="1"/>
  <c r="F288" i="1"/>
  <c r="E288" i="1"/>
  <c r="D288" i="1"/>
  <c r="G274" i="1" l="1"/>
  <c r="F274" i="1"/>
  <c r="E274" i="1"/>
  <c r="D274" i="1"/>
  <c r="G270" i="1"/>
  <c r="F270" i="1"/>
  <c r="E270" i="1"/>
  <c r="D270" i="1"/>
  <c r="G267" i="1"/>
  <c r="F267" i="1"/>
  <c r="E267" i="1"/>
  <c r="D267" i="1"/>
  <c r="G393" i="1" l="1"/>
  <c r="F393" i="1"/>
  <c r="E393" i="1"/>
  <c r="D393" i="1"/>
  <c r="G142" i="1"/>
  <c r="F142" i="1"/>
  <c r="E142" i="1"/>
  <c r="D142" i="1"/>
  <c r="G391" i="1" l="1"/>
  <c r="F391" i="1"/>
  <c r="E391" i="1"/>
  <c r="D391" i="1"/>
  <c r="G302" i="1"/>
  <c r="F302" i="1"/>
  <c r="E302" i="1"/>
  <c r="D302" i="1"/>
  <c r="G301" i="1"/>
  <c r="F301" i="1"/>
  <c r="E301" i="1"/>
  <c r="E294" i="1" s="1"/>
  <c r="D301" i="1"/>
  <c r="G125" i="1"/>
  <c r="F125" i="1"/>
  <c r="E125" i="1"/>
  <c r="D125" i="1"/>
  <c r="G294" i="1" l="1"/>
  <c r="D294" i="1"/>
  <c r="F294" i="1"/>
  <c r="G377" i="1"/>
  <c r="F377" i="1"/>
  <c r="E377" i="1"/>
  <c r="D377" i="1"/>
  <c r="G132" i="1"/>
  <c r="F132" i="1"/>
  <c r="E132" i="1"/>
  <c r="D132" i="1"/>
  <c r="G134" i="1"/>
  <c r="F134" i="1"/>
  <c r="E134" i="1"/>
  <c r="D134" i="1"/>
  <c r="G292" i="1" l="1"/>
  <c r="F292" i="1"/>
  <c r="E292" i="1"/>
  <c r="D292" i="1"/>
  <c r="G201" i="1"/>
  <c r="F201" i="1"/>
  <c r="E201" i="1"/>
  <c r="D201" i="1"/>
  <c r="G273" i="1"/>
  <c r="F273" i="1"/>
  <c r="E273" i="1"/>
  <c r="D273" i="1"/>
  <c r="G271" i="1"/>
  <c r="F271" i="1"/>
  <c r="E271" i="1"/>
  <c r="D271" i="1"/>
  <c r="G392" i="1"/>
  <c r="F392" i="1"/>
  <c r="E392" i="1"/>
  <c r="D392" i="1"/>
  <c r="G276" i="1" l="1"/>
  <c r="F276" i="1"/>
  <c r="E276" i="1"/>
  <c r="D276" i="1"/>
  <c r="G304" i="1"/>
  <c r="F304" i="1"/>
  <c r="E304" i="1"/>
  <c r="D304" i="1"/>
  <c r="G305" i="1"/>
  <c r="F305" i="1"/>
  <c r="E305" i="1"/>
  <c r="D305" i="1"/>
  <c r="G420" i="1"/>
  <c r="F420" i="1"/>
  <c r="E420" i="1"/>
  <c r="D420" i="1"/>
  <c r="G401" i="1"/>
  <c r="F401" i="1"/>
  <c r="E401" i="1"/>
  <c r="D401" i="1"/>
  <c r="G400" i="1"/>
  <c r="F400" i="1"/>
  <c r="E400" i="1"/>
  <c r="D400" i="1"/>
  <c r="G394" i="1"/>
  <c r="F394" i="1"/>
  <c r="E394" i="1"/>
  <c r="D394" i="1"/>
  <c r="G376" i="1"/>
  <c r="F376" i="1"/>
  <c r="E376" i="1"/>
  <c r="D376" i="1"/>
  <c r="G374" i="1"/>
  <c r="F374" i="1"/>
  <c r="E374" i="1"/>
  <c r="D374" i="1"/>
  <c r="G373" i="1"/>
  <c r="F373" i="1"/>
  <c r="E373" i="1"/>
  <c r="D373" i="1"/>
  <c r="G307" i="1"/>
  <c r="F307" i="1"/>
  <c r="E307" i="1"/>
  <c r="D307" i="1"/>
  <c r="G203" i="1"/>
  <c r="F203" i="1"/>
  <c r="E203" i="1"/>
  <c r="D203" i="1"/>
  <c r="F153" i="1"/>
  <c r="E153" i="1"/>
  <c r="D153" i="1"/>
  <c r="G368" i="1" l="1"/>
  <c r="G395" i="1"/>
  <c r="F395" i="1"/>
  <c r="F368" i="1"/>
  <c r="E368" i="1"/>
  <c r="E395" i="1"/>
  <c r="D368" i="1"/>
  <c r="D395" i="1"/>
  <c r="G388" i="1"/>
  <c r="F388" i="1"/>
  <c r="E388" i="1"/>
  <c r="D388" i="1"/>
  <c r="G387" i="1"/>
  <c r="F387" i="1"/>
  <c r="E387" i="1"/>
  <c r="D387" i="1"/>
  <c r="G366" i="1"/>
  <c r="F366" i="1"/>
  <c r="E366" i="1"/>
  <c r="D366" i="1"/>
  <c r="G365" i="1"/>
  <c r="F365" i="1"/>
  <c r="E365" i="1"/>
  <c r="D365" i="1"/>
  <c r="G385" i="1" l="1"/>
  <c r="F359" i="1"/>
  <c r="F385" i="1"/>
  <c r="G359" i="1"/>
  <c r="E385" i="1"/>
  <c r="E359" i="1"/>
  <c r="D359" i="1"/>
  <c r="D385" i="1"/>
  <c r="G340" i="1"/>
  <c r="F340" i="1"/>
  <c r="E340" i="1"/>
  <c r="D340" i="1"/>
  <c r="G337" i="1"/>
  <c r="F337" i="1"/>
  <c r="E337" i="1"/>
  <c r="D337" i="1"/>
  <c r="G336" i="1"/>
  <c r="F336" i="1"/>
  <c r="E336" i="1"/>
  <c r="D336" i="1"/>
  <c r="G335" i="1"/>
  <c r="F335" i="1"/>
  <c r="E335" i="1"/>
  <c r="D335" i="1"/>
  <c r="G291" i="1"/>
  <c r="F291" i="1"/>
  <c r="E291" i="1"/>
  <c r="D291" i="1"/>
  <c r="G282" i="1"/>
  <c r="F282" i="1"/>
  <c r="E282" i="1"/>
  <c r="D282" i="1"/>
  <c r="G283" i="1"/>
  <c r="F283" i="1"/>
  <c r="E283" i="1"/>
  <c r="D283" i="1"/>
  <c r="G275" i="1"/>
  <c r="F275" i="1"/>
  <c r="E275" i="1"/>
  <c r="D275" i="1"/>
  <c r="G272" i="1"/>
  <c r="F272" i="1"/>
  <c r="E272" i="1"/>
  <c r="D272" i="1"/>
  <c r="G217" i="1"/>
  <c r="F217" i="1"/>
  <c r="E217" i="1"/>
  <c r="D217" i="1"/>
  <c r="G216" i="1"/>
  <c r="F216" i="1"/>
  <c r="E216" i="1"/>
  <c r="D216" i="1"/>
  <c r="G215" i="1"/>
  <c r="F215" i="1"/>
  <c r="E215" i="1"/>
  <c r="D215" i="1"/>
  <c r="G213" i="1"/>
  <c r="F213" i="1"/>
  <c r="E213" i="1"/>
  <c r="D213" i="1"/>
  <c r="G212" i="1"/>
  <c r="F212" i="1"/>
  <c r="E212" i="1"/>
  <c r="D212" i="1"/>
  <c r="G210" i="1"/>
  <c r="F210" i="1"/>
  <c r="E210" i="1"/>
  <c r="D210" i="1"/>
  <c r="G209" i="1"/>
  <c r="F209" i="1"/>
  <c r="E209" i="1"/>
  <c r="D209" i="1"/>
  <c r="G175" i="1"/>
  <c r="F175" i="1"/>
  <c r="E175" i="1"/>
  <c r="D175" i="1"/>
  <c r="G165" i="1"/>
  <c r="F165" i="1"/>
  <c r="E165" i="1"/>
  <c r="D165" i="1"/>
  <c r="G164" i="1"/>
  <c r="F164" i="1"/>
  <c r="E164" i="1"/>
  <c r="D164" i="1"/>
  <c r="G163" i="1"/>
  <c r="F163" i="1"/>
  <c r="E163" i="1"/>
  <c r="D163" i="1"/>
  <c r="G162" i="1"/>
  <c r="F162" i="1"/>
  <c r="E162" i="1"/>
  <c r="D162" i="1"/>
  <c r="G135" i="1"/>
  <c r="F135" i="1"/>
  <c r="E135" i="1"/>
  <c r="D135" i="1"/>
  <c r="G133" i="1"/>
  <c r="F133" i="1"/>
  <c r="E133" i="1"/>
  <c r="D133" i="1"/>
  <c r="G129" i="1"/>
  <c r="F129" i="1"/>
  <c r="E129" i="1"/>
  <c r="D129" i="1"/>
  <c r="F161" i="1" l="1"/>
  <c r="G161" i="1"/>
  <c r="E161" i="1"/>
  <c r="E131" i="1"/>
  <c r="F131" i="1"/>
  <c r="E207" i="1"/>
  <c r="E206" i="1"/>
  <c r="D204" i="1"/>
  <c r="D206" i="1"/>
  <c r="D207" i="1"/>
  <c r="D325" i="1"/>
  <c r="D131" i="1"/>
  <c r="D161" i="1"/>
  <c r="G204" i="1"/>
  <c r="G207" i="1"/>
  <c r="E325" i="1"/>
  <c r="G206" i="1"/>
  <c r="F204" i="1"/>
  <c r="F206" i="1"/>
  <c r="F207" i="1"/>
  <c r="F325" i="1"/>
  <c r="E204" i="1"/>
  <c r="G131" i="1"/>
  <c r="G325" i="1"/>
  <c r="D277" i="1"/>
  <c r="F277" i="1"/>
  <c r="E277" i="1"/>
  <c r="G277" i="1"/>
  <c r="G130" i="1"/>
  <c r="F130" i="1"/>
  <c r="E130" i="1"/>
  <c r="D130" i="1"/>
  <c r="G102" i="1"/>
  <c r="F102" i="1"/>
  <c r="E102" i="1"/>
  <c r="D102" i="1"/>
  <c r="G70" i="1"/>
  <c r="F70" i="1"/>
  <c r="E70" i="1"/>
  <c r="D70" i="1"/>
  <c r="G69" i="1" l="1"/>
  <c r="F69" i="1"/>
  <c r="E69" i="1"/>
  <c r="D69" i="1"/>
  <c r="G421" i="1"/>
  <c r="F421" i="1"/>
  <c r="E421" i="1"/>
  <c r="D421" i="1"/>
  <c r="G378" i="1"/>
  <c r="F378" i="1"/>
  <c r="E378" i="1"/>
  <c r="D378" i="1"/>
  <c r="G339" i="1"/>
  <c r="F339" i="1"/>
  <c r="E339" i="1"/>
  <c r="D339" i="1"/>
  <c r="G289" i="1"/>
  <c r="F289" i="1"/>
  <c r="E289" i="1"/>
  <c r="D289" i="1"/>
  <c r="G268" i="1"/>
  <c r="F268" i="1"/>
  <c r="E268" i="1"/>
  <c r="D268" i="1"/>
  <c r="D244" i="1" s="1"/>
  <c r="G225" i="1"/>
  <c r="F225" i="1"/>
  <c r="E225" i="1"/>
  <c r="D225" i="1"/>
  <c r="G224" i="1"/>
  <c r="F224" i="1"/>
  <c r="E224" i="1"/>
  <c r="D224" i="1"/>
  <c r="G205" i="1"/>
  <c r="F205" i="1"/>
  <c r="E205" i="1"/>
  <c r="D205" i="1"/>
  <c r="G202" i="1"/>
  <c r="F202" i="1"/>
  <c r="E202" i="1"/>
  <c r="D202" i="1"/>
  <c r="G197" i="1"/>
  <c r="F197" i="1"/>
  <c r="E197" i="1"/>
  <c r="D197" i="1"/>
  <c r="G192" i="1"/>
  <c r="F192" i="1"/>
  <c r="E192" i="1"/>
  <c r="D192" i="1"/>
  <c r="G180" i="1"/>
  <c r="F180" i="1"/>
  <c r="E180" i="1"/>
  <c r="D180" i="1"/>
  <c r="G116" i="1"/>
  <c r="F116" i="1"/>
  <c r="E116" i="1"/>
  <c r="D116" i="1"/>
  <c r="G95" i="1"/>
  <c r="F95" i="1"/>
  <c r="E95" i="1"/>
  <c r="D95" i="1"/>
  <c r="G77" i="1"/>
  <c r="F77" i="1"/>
  <c r="E77" i="1"/>
  <c r="D77" i="1"/>
  <c r="D396" i="1" l="1"/>
  <c r="E244" i="1"/>
  <c r="F244" i="1"/>
  <c r="G244" i="1"/>
  <c r="E396" i="1"/>
  <c r="G396" i="1"/>
  <c r="F396" i="1"/>
  <c r="H244" i="1" l="1"/>
  <c r="G269" i="1" l="1"/>
  <c r="F269" i="1" l="1"/>
  <c r="D269" i="1"/>
  <c r="E269" i="1"/>
  <c r="H69" i="1" l="1"/>
  <c r="I69" i="1" s="1"/>
  <c r="D22" i="1"/>
  <c r="B22" i="1" s="1"/>
  <c r="G114" i="1"/>
  <c r="G92" i="1"/>
  <c r="D92" i="1"/>
  <c r="E114" i="1"/>
  <c r="E92" i="1"/>
  <c r="D114" i="1"/>
  <c r="F114" i="1"/>
  <c r="F92" i="1"/>
  <c r="J69" i="1" l="1"/>
  <c r="K69" i="1" l="1"/>
  <c r="L69" i="1" l="1"/>
  <c r="C12" i="1" l="1"/>
  <c r="A12" i="1" l="1"/>
  <c r="B12" i="1"/>
  <c r="F6" i="1"/>
  <c r="G427" i="1" l="1"/>
  <c r="F427" i="1" l="1"/>
  <c r="E427" i="1"/>
  <c r="D427" i="1"/>
  <c r="AA242" i="1" l="1"/>
  <c r="N239" i="1"/>
  <c r="O239" i="1" s="1"/>
  <c r="P239" i="1" s="1"/>
  <c r="Q239" i="1" s="1"/>
  <c r="R239" i="1" s="1"/>
  <c r="S239" i="1" s="1"/>
  <c r="T239" i="1" s="1"/>
  <c r="U239" i="1" s="1"/>
  <c r="V239" i="1" s="1"/>
  <c r="W239" i="1" s="1"/>
  <c r="X239" i="1" s="1"/>
  <c r="Y239" i="1" s="1"/>
  <c r="Z239" i="1" s="1"/>
  <c r="AA239" i="1" s="1"/>
  <c r="D247" i="1" l="1"/>
  <c r="E247" i="1"/>
  <c r="F247" i="1"/>
  <c r="G247" i="1"/>
  <c r="C38" i="1" l="1"/>
  <c r="H247" i="1"/>
  <c r="G190" i="1"/>
  <c r="F190" i="1"/>
  <c r="E190" i="1"/>
  <c r="D190" i="1"/>
  <c r="H287" i="1" l="1"/>
  <c r="I288" i="1"/>
  <c r="I247" i="1" s="1"/>
  <c r="J288" i="1" l="1"/>
  <c r="J247" i="1" s="1"/>
  <c r="I287" i="1"/>
  <c r="J287" i="1" l="1"/>
  <c r="K288" i="1"/>
  <c r="K247" i="1" s="1"/>
  <c r="K287" i="1"/>
  <c r="L288" i="1"/>
  <c r="H421" i="1"/>
  <c r="I421" i="1" s="1"/>
  <c r="J421" i="1" s="1"/>
  <c r="K421" i="1" s="1"/>
  <c r="L421" i="1" s="1"/>
  <c r="G296" i="1"/>
  <c r="F296" i="1"/>
  <c r="E296" i="1"/>
  <c r="D296" i="1"/>
  <c r="D384" i="1"/>
  <c r="E384" i="1"/>
  <c r="F384" i="1"/>
  <c r="G384" i="1"/>
  <c r="H384" i="1" s="1"/>
  <c r="I384" i="1" s="1"/>
  <c r="J384" i="1" s="1"/>
  <c r="K384" i="1" s="1"/>
  <c r="L384" i="1" s="1"/>
  <c r="G383" i="1"/>
  <c r="H383" i="1" s="1"/>
  <c r="F383" i="1"/>
  <c r="E383" i="1"/>
  <c r="D383" i="1"/>
  <c r="H377" i="1"/>
  <c r="I377" i="1" s="1"/>
  <c r="J377" i="1" s="1"/>
  <c r="K377" i="1" s="1"/>
  <c r="L377" i="1" s="1"/>
  <c r="H376" i="1"/>
  <c r="G363" i="1"/>
  <c r="F363" i="1"/>
  <c r="E363" i="1"/>
  <c r="D363" i="1"/>
  <c r="G360" i="1"/>
  <c r="H360" i="1" s="1"/>
  <c r="I360" i="1" s="1"/>
  <c r="J360" i="1" s="1"/>
  <c r="K360" i="1" s="1"/>
  <c r="L360" i="1" s="1"/>
  <c r="F360" i="1"/>
  <c r="E360" i="1"/>
  <c r="D360" i="1"/>
  <c r="I376" i="1" l="1"/>
  <c r="H368" i="1"/>
  <c r="I383" i="1"/>
  <c r="H385" i="1"/>
  <c r="H391" i="1"/>
  <c r="I391" i="1" s="1"/>
  <c r="J391" i="1" s="1"/>
  <c r="K391" i="1" s="1"/>
  <c r="L391" i="1" s="1"/>
  <c r="H359" i="1"/>
  <c r="L287" i="1"/>
  <c r="L247" i="1"/>
  <c r="I291" i="1"/>
  <c r="F295" i="1"/>
  <c r="G295" i="1"/>
  <c r="E295" i="1"/>
  <c r="D295" i="1"/>
  <c r="F369" i="1"/>
  <c r="F370" i="1" s="1"/>
  <c r="E369" i="1"/>
  <c r="E370" i="1" s="1"/>
  <c r="G369" i="1"/>
  <c r="G370" i="1" s="1"/>
  <c r="D369" i="1"/>
  <c r="D370" i="1" s="1"/>
  <c r="D23" i="1" l="1"/>
  <c r="B23" i="1" s="1"/>
  <c r="J376" i="1"/>
  <c r="K376" i="1" s="1"/>
  <c r="L376" i="1" s="1"/>
  <c r="H369" i="1"/>
  <c r="I368" i="1"/>
  <c r="J383" i="1"/>
  <c r="I385" i="1"/>
  <c r="I359" i="1"/>
  <c r="D24" i="1"/>
  <c r="B24" i="1" s="1"/>
  <c r="J291" i="1"/>
  <c r="K291" i="1" s="1"/>
  <c r="L291" i="1" s="1"/>
  <c r="H239" i="1"/>
  <c r="H263" i="1" s="1"/>
  <c r="I239" i="1"/>
  <c r="I263" i="1" s="1"/>
  <c r="J239" i="1"/>
  <c r="J263" i="1" s="1"/>
  <c r="K239" i="1"/>
  <c r="K263" i="1" s="1"/>
  <c r="L239" i="1"/>
  <c r="L263" i="1" s="1"/>
  <c r="A240" i="1"/>
  <c r="A264" i="1" s="1"/>
  <c r="J368" i="1" l="1"/>
  <c r="I369" i="1"/>
  <c r="J359" i="1"/>
  <c r="K359" i="1" s="1"/>
  <c r="L359" i="1" s="1"/>
  <c r="K383" i="1"/>
  <c r="J385" i="1"/>
  <c r="J369" i="1" l="1"/>
  <c r="K368" i="1"/>
  <c r="K369" i="1" s="1"/>
  <c r="L383" i="1"/>
  <c r="L385" i="1" s="1"/>
  <c r="K385" i="1"/>
  <c r="L368" i="1" l="1"/>
  <c r="L369" i="1" s="1"/>
  <c r="F90" i="1" l="1"/>
  <c r="E90" i="1"/>
  <c r="D90" i="1"/>
  <c r="G157" i="1"/>
  <c r="F157" i="1"/>
  <c r="E157" i="1"/>
  <c r="D157" i="1"/>
  <c r="D154" i="1"/>
  <c r="E154" i="1"/>
  <c r="F154" i="1"/>
  <c r="G154" i="1"/>
  <c r="I244" i="1" l="1"/>
  <c r="H268" i="1"/>
  <c r="H154" i="1"/>
  <c r="I154" i="1" s="1"/>
  <c r="J154" i="1" s="1"/>
  <c r="K154" i="1" s="1"/>
  <c r="L154" i="1" s="1"/>
  <c r="J244" i="1" l="1"/>
  <c r="I268" i="1"/>
  <c r="K244" i="1" l="1"/>
  <c r="J268" i="1"/>
  <c r="L244" i="1" l="1"/>
  <c r="L268" i="1" s="1"/>
  <c r="K268" i="1"/>
  <c r="D347" i="1" l="1"/>
  <c r="B38" i="1" l="1"/>
  <c r="S419" i="1" l="1"/>
  <c r="E424" i="1"/>
  <c r="D346" i="1"/>
  <c r="G414" i="1"/>
  <c r="F414" i="1"/>
  <c r="E414" i="1"/>
  <c r="D414" i="1"/>
  <c r="D328" i="1" s="1"/>
  <c r="G140" i="1"/>
  <c r="F140" i="1"/>
  <c r="E140" i="1"/>
  <c r="D140" i="1"/>
  <c r="G127" i="1"/>
  <c r="F127" i="1"/>
  <c r="E127" i="1"/>
  <c r="D127" i="1"/>
  <c r="H130" i="1"/>
  <c r="I130" i="1" s="1"/>
  <c r="J130" i="1" s="1"/>
  <c r="K130" i="1" s="1"/>
  <c r="L130" i="1" s="1"/>
  <c r="H129" i="1"/>
  <c r="G348" i="1"/>
  <c r="D348" i="1"/>
  <c r="D349" i="1"/>
  <c r="A425" i="1"/>
  <c r="A424" i="1"/>
  <c r="A413" i="1"/>
  <c r="A414" i="1"/>
  <c r="A415" i="1"/>
  <c r="A416" i="1"/>
  <c r="F426" i="1"/>
  <c r="E426" i="1"/>
  <c r="D426" i="1"/>
  <c r="D361" i="1" s="1"/>
  <c r="H204" i="1"/>
  <c r="F416" i="1"/>
  <c r="E416" i="1"/>
  <c r="D416" i="1"/>
  <c r="D331" i="1" s="1"/>
  <c r="G425" i="1"/>
  <c r="F425" i="1"/>
  <c r="G120" i="1"/>
  <c r="F120" i="1"/>
  <c r="E120" i="1"/>
  <c r="D120" i="1"/>
  <c r="F196" i="1"/>
  <c r="E196" i="1"/>
  <c r="D196" i="1"/>
  <c r="D240" i="1" s="1"/>
  <c r="D264" i="1" s="1"/>
  <c r="D323" i="1" s="1"/>
  <c r="D412" i="1" s="1"/>
  <c r="H203" i="1"/>
  <c r="I203" i="1" s="1"/>
  <c r="J203" i="1" s="1"/>
  <c r="K203" i="1" s="1"/>
  <c r="L203" i="1" s="1"/>
  <c r="E415" i="1"/>
  <c r="D415" i="1"/>
  <c r="D330" i="1" s="1"/>
  <c r="H175" i="1"/>
  <c r="I175" i="1" s="1"/>
  <c r="J175" i="1" s="1"/>
  <c r="K175" i="1" s="1"/>
  <c r="L175" i="1" s="1"/>
  <c r="E286" i="1"/>
  <c r="D245" i="1"/>
  <c r="D425" i="1"/>
  <c r="D358" i="1" s="1"/>
  <c r="G371" i="1"/>
  <c r="F371" i="1"/>
  <c r="D248" i="1"/>
  <c r="E371" i="1"/>
  <c r="F333" i="1"/>
  <c r="E333" i="1"/>
  <c r="G333" i="1"/>
  <c r="D333" i="1"/>
  <c r="G148" i="1"/>
  <c r="F148" i="1"/>
  <c r="E148" i="1"/>
  <c r="D148" i="1"/>
  <c r="G123" i="1"/>
  <c r="F123" i="1"/>
  <c r="E123" i="1"/>
  <c r="D123" i="1"/>
  <c r="E150" i="1"/>
  <c r="F150" i="1" s="1"/>
  <c r="G150" i="1" s="1"/>
  <c r="D150" i="1"/>
  <c r="A50" i="1"/>
  <c r="E287" i="1" l="1"/>
  <c r="S223" i="1"/>
  <c r="H137" i="1"/>
  <c r="E240" i="1"/>
  <c r="E264" i="1" s="1"/>
  <c r="E323" i="1" s="1"/>
  <c r="E412" i="1" s="1"/>
  <c r="R223" i="1"/>
  <c r="F240" i="1"/>
  <c r="F264" i="1" s="1"/>
  <c r="F323" i="1" s="1"/>
  <c r="F412" i="1" s="1"/>
  <c r="D230" i="1"/>
  <c r="E230" i="1"/>
  <c r="F230" i="1"/>
  <c r="H120" i="1"/>
  <c r="H153" i="1"/>
  <c r="H378" i="1"/>
  <c r="C52" i="1"/>
  <c r="I129" i="1"/>
  <c r="G196" i="1"/>
  <c r="D329" i="1"/>
  <c r="D75" i="1"/>
  <c r="D74" i="1"/>
  <c r="F75" i="1"/>
  <c r="F74" i="1"/>
  <c r="E75" i="1"/>
  <c r="E74" i="1"/>
  <c r="G230" i="1"/>
  <c r="E357" i="1"/>
  <c r="D357" i="1"/>
  <c r="G349" i="1"/>
  <c r="D286" i="1"/>
  <c r="D287" i="1" s="1"/>
  <c r="D413" i="1"/>
  <c r="D219" i="1"/>
  <c r="G415" i="1"/>
  <c r="E413" i="1"/>
  <c r="E219" i="1"/>
  <c r="F413" i="1"/>
  <c r="I204" i="1"/>
  <c r="H416" i="1"/>
  <c r="G416" i="1"/>
  <c r="G426" i="1"/>
  <c r="H207" i="1"/>
  <c r="G310" i="1"/>
  <c r="E310" i="1"/>
  <c r="F310" i="1"/>
  <c r="S225" i="1"/>
  <c r="F286" i="1"/>
  <c r="E361" i="1"/>
  <c r="F361" i="1"/>
  <c r="F358" i="1"/>
  <c r="G358" i="1"/>
  <c r="E356" i="1"/>
  <c r="F349" i="1"/>
  <c r="F348" i="1"/>
  <c r="E346" i="1"/>
  <c r="E349" i="1"/>
  <c r="E348" i="1"/>
  <c r="E331" i="1"/>
  <c r="F331" i="1"/>
  <c r="E330" i="1"/>
  <c r="G328" i="1"/>
  <c r="E328" i="1"/>
  <c r="F328" i="1"/>
  <c r="A195" i="1"/>
  <c r="A239" i="1" s="1"/>
  <c r="A263" i="1" s="1"/>
  <c r="A322" i="1" s="1"/>
  <c r="A4" i="1"/>
  <c r="H427" i="1"/>
  <c r="I427" i="1" s="1"/>
  <c r="J427" i="1" s="1"/>
  <c r="K427" i="1" s="1"/>
  <c r="L427" i="1" s="1"/>
  <c r="H420" i="1"/>
  <c r="D403" i="1"/>
  <c r="F403" i="1"/>
  <c r="E403" i="1"/>
  <c r="G403" i="1"/>
  <c r="F88" i="1"/>
  <c r="E88" i="1"/>
  <c r="D100" i="1"/>
  <c r="D246" i="1"/>
  <c r="E448" i="1"/>
  <c r="E87" i="1"/>
  <c r="D96" i="1"/>
  <c r="D87" i="1"/>
  <c r="E246" i="1"/>
  <c r="R225" i="1"/>
  <c r="G227" i="1"/>
  <c r="F227" i="1"/>
  <c r="G181" i="1"/>
  <c r="E52" i="1" s="1"/>
  <c r="B52" i="1" s="1"/>
  <c r="E78" i="1"/>
  <c r="D104" i="1"/>
  <c r="D227" i="1"/>
  <c r="D78" i="1"/>
  <c r="F87" i="1"/>
  <c r="E198" i="1"/>
  <c r="E199" i="1"/>
  <c r="G448" i="1"/>
  <c r="E181" i="1"/>
  <c r="G182" i="1"/>
  <c r="F181" i="1"/>
  <c r="E227" i="1"/>
  <c r="E80" i="1"/>
  <c r="F72" i="1"/>
  <c r="E72" i="1"/>
  <c r="F448" i="1"/>
  <c r="D199" i="1"/>
  <c r="F78" i="1"/>
  <c r="F80" i="1"/>
  <c r="E425" i="1"/>
  <c r="E220" i="1"/>
  <c r="H370" i="1"/>
  <c r="I370" i="1" s="1"/>
  <c r="J370" i="1" s="1"/>
  <c r="K370" i="1" s="1"/>
  <c r="L370" i="1" s="1"/>
  <c r="F199" i="1"/>
  <c r="F198" i="1"/>
  <c r="F246" i="1"/>
  <c r="B31" i="1"/>
  <c r="D220" i="1"/>
  <c r="D221" i="1" s="1"/>
  <c r="D424" i="1"/>
  <c r="D356" i="1" s="1"/>
  <c r="G413" i="1"/>
  <c r="D80" i="1"/>
  <c r="F415" i="1"/>
  <c r="F287" i="1" l="1"/>
  <c r="T223" i="1"/>
  <c r="F330" i="1"/>
  <c r="E358" i="1"/>
  <c r="F326" i="1"/>
  <c r="G326" i="1"/>
  <c r="D326" i="1"/>
  <c r="E326" i="1"/>
  <c r="E222" i="1"/>
  <c r="E248" i="1" s="1"/>
  <c r="D21" i="1"/>
  <c r="B21" i="1" s="1"/>
  <c r="G240" i="1"/>
  <c r="G264" i="1" s="1"/>
  <c r="G323" i="1" s="1"/>
  <c r="G412" i="1" s="1"/>
  <c r="G68" i="1"/>
  <c r="D250" i="1"/>
  <c r="F397" i="1"/>
  <c r="F451" i="1" s="1"/>
  <c r="E329" i="1"/>
  <c r="F329" i="1"/>
  <c r="E397" i="1"/>
  <c r="E451" i="1" s="1"/>
  <c r="E93" i="1"/>
  <c r="D93" i="1"/>
  <c r="I153" i="1"/>
  <c r="I120" i="1"/>
  <c r="I378" i="1"/>
  <c r="G397" i="1"/>
  <c r="H395" i="1"/>
  <c r="I395" i="1" s="1"/>
  <c r="J395" i="1" s="1"/>
  <c r="K395" i="1" s="1"/>
  <c r="L395" i="1" s="1"/>
  <c r="J129" i="1"/>
  <c r="H349" i="1"/>
  <c r="G330" i="1"/>
  <c r="G331" i="1"/>
  <c r="I207" i="1"/>
  <c r="H426" i="1"/>
  <c r="J204" i="1"/>
  <c r="I416" i="1"/>
  <c r="G361" i="1"/>
  <c r="H361" i="1" s="1"/>
  <c r="D362" i="1"/>
  <c r="D231" i="1" s="1"/>
  <c r="E362" i="1"/>
  <c r="E231" i="1" s="1"/>
  <c r="I420" i="1"/>
  <c r="H348" i="1"/>
  <c r="D105" i="1"/>
  <c r="D266" i="1"/>
  <c r="H196" i="1"/>
  <c r="E404" i="1"/>
  <c r="F404" i="1"/>
  <c r="G404" i="1"/>
  <c r="F228" i="1"/>
  <c r="M181" i="1"/>
  <c r="G228" i="1"/>
  <c r="F52" i="1"/>
  <c r="E228" i="1"/>
  <c r="E81" i="1"/>
  <c r="D81" i="1"/>
  <c r="F93" i="1"/>
  <c r="E221" i="1"/>
  <c r="F81" i="1"/>
  <c r="B29" i="1" l="1"/>
  <c r="G195" i="1"/>
  <c r="F195" i="1" s="1"/>
  <c r="E195" i="1" s="1"/>
  <c r="D195" i="1" s="1"/>
  <c r="D450" i="1"/>
  <c r="B30" i="1"/>
  <c r="D30" i="1" s="1"/>
  <c r="G246" i="1"/>
  <c r="E245" i="1"/>
  <c r="E431" i="1"/>
  <c r="F431" i="1"/>
  <c r="G431" i="1" s="1"/>
  <c r="G90" i="1"/>
  <c r="G424" i="1"/>
  <c r="F424" i="1"/>
  <c r="F47" i="1"/>
  <c r="H102" i="1"/>
  <c r="I102" i="1" s="1"/>
  <c r="J102" i="1" s="1"/>
  <c r="K102" i="1" s="1"/>
  <c r="L102" i="1" s="1"/>
  <c r="F68" i="1"/>
  <c r="E68" i="1" s="1"/>
  <c r="D431" i="1"/>
  <c r="F245" i="1"/>
  <c r="J153" i="1"/>
  <c r="K153" i="1" s="1"/>
  <c r="F398" i="1"/>
  <c r="F327" i="1"/>
  <c r="F332" i="1" s="1"/>
  <c r="E327" i="1"/>
  <c r="E332" i="1" s="1"/>
  <c r="E398" i="1"/>
  <c r="J120" i="1"/>
  <c r="K120" i="1" s="1"/>
  <c r="L120" i="1" s="1"/>
  <c r="I196" i="1"/>
  <c r="I240" i="1" s="1"/>
  <c r="I264" i="1" s="1"/>
  <c r="I323" i="1" s="1"/>
  <c r="I412" i="1" s="1"/>
  <c r="J378" i="1"/>
  <c r="K378" i="1" s="1"/>
  <c r="L378" i="1" s="1"/>
  <c r="G451" i="1"/>
  <c r="G398" i="1"/>
  <c r="I361" i="1"/>
  <c r="H276" i="1"/>
  <c r="H331" i="1"/>
  <c r="K129" i="1"/>
  <c r="H240" i="1"/>
  <c r="H264" i="1" s="1"/>
  <c r="D327" i="1"/>
  <c r="E379" i="1"/>
  <c r="E232" i="1"/>
  <c r="D379" i="1"/>
  <c r="D380" i="1" s="1"/>
  <c r="D232" i="1"/>
  <c r="I349" i="1"/>
  <c r="J207" i="1"/>
  <c r="I426" i="1"/>
  <c r="K204" i="1"/>
  <c r="J416" i="1"/>
  <c r="J420" i="1"/>
  <c r="I348" i="1"/>
  <c r="J196" i="1"/>
  <c r="J240" i="1" s="1"/>
  <c r="J264" i="1" s="1"/>
  <c r="J323" i="1" s="1"/>
  <c r="J412" i="1" s="1"/>
  <c r="H181" i="1"/>
  <c r="E118" i="1"/>
  <c r="E117" i="1"/>
  <c r="D122" i="1"/>
  <c r="D107" i="1"/>
  <c r="E122" i="1"/>
  <c r="D117" i="1"/>
  <c r="F118" i="1"/>
  <c r="F117" i="1"/>
  <c r="F122" i="1"/>
  <c r="E250" i="1" l="1"/>
  <c r="B32" i="1"/>
  <c r="E380" i="1"/>
  <c r="E381" i="1" s="1"/>
  <c r="G263" i="1"/>
  <c r="F263" i="1" s="1"/>
  <c r="E263" i="1" s="1"/>
  <c r="D263" i="1" s="1"/>
  <c r="H323" i="1"/>
  <c r="D99" i="1"/>
  <c r="G219" i="1"/>
  <c r="G220" i="1"/>
  <c r="C55" i="1" s="1"/>
  <c r="G198" i="1"/>
  <c r="M198" i="1" s="1"/>
  <c r="N197" i="1"/>
  <c r="G286" i="1"/>
  <c r="M197" i="1"/>
  <c r="C53" i="1"/>
  <c r="T225" i="1"/>
  <c r="C9" i="1"/>
  <c r="D341" i="1"/>
  <c r="D417" i="1" s="1"/>
  <c r="D434" i="1" s="1"/>
  <c r="F356" i="1"/>
  <c r="F357" i="1"/>
  <c r="F219" i="1"/>
  <c r="F450" i="1"/>
  <c r="H125" i="1"/>
  <c r="E450" i="1"/>
  <c r="G75" i="1"/>
  <c r="G329" i="1"/>
  <c r="L329" i="1" s="1"/>
  <c r="H329" i="1" s="1"/>
  <c r="I329" i="1" s="1"/>
  <c r="J329" i="1" s="1"/>
  <c r="J46" i="1"/>
  <c r="E97" i="1"/>
  <c r="E104" i="1"/>
  <c r="E266" i="1" s="1"/>
  <c r="E100" i="1"/>
  <c r="E96" i="1"/>
  <c r="G346" i="1"/>
  <c r="F220" i="1"/>
  <c r="F221" i="1" s="1"/>
  <c r="F346" i="1"/>
  <c r="G356" i="1"/>
  <c r="G199" i="1"/>
  <c r="M199" i="1" s="1"/>
  <c r="I461" i="1"/>
  <c r="I462" i="1" s="1"/>
  <c r="E99" i="1"/>
  <c r="G461" i="1"/>
  <c r="G462" i="1" s="1"/>
  <c r="G72" i="1"/>
  <c r="C47" i="1"/>
  <c r="H47" i="1"/>
  <c r="D9" i="1"/>
  <c r="B9" i="1" s="1"/>
  <c r="G74" i="1"/>
  <c r="E341" i="1"/>
  <c r="E347" i="1"/>
  <c r="G327" i="1"/>
  <c r="L327" i="1" s="1"/>
  <c r="G78" i="1"/>
  <c r="E48" i="1" s="1"/>
  <c r="C48" i="1"/>
  <c r="G80" i="1"/>
  <c r="I464" i="1" s="1"/>
  <c r="I465" i="1" s="1"/>
  <c r="G357" i="1"/>
  <c r="G362" i="1" s="1"/>
  <c r="G231" i="1" s="1"/>
  <c r="F100" i="1"/>
  <c r="F96" i="1"/>
  <c r="F104" i="1"/>
  <c r="F105" i="1" s="1"/>
  <c r="F97" i="1"/>
  <c r="F99" i="1"/>
  <c r="G245" i="1"/>
  <c r="G88" i="1"/>
  <c r="G87" i="1"/>
  <c r="E49" i="1" s="1"/>
  <c r="C49" i="1"/>
  <c r="F137" i="1"/>
  <c r="E137" i="1"/>
  <c r="D68" i="1"/>
  <c r="F341" i="1"/>
  <c r="D449" i="1"/>
  <c r="F347" i="1"/>
  <c r="D332" i="1"/>
  <c r="I331" i="1"/>
  <c r="I273" i="1" s="1"/>
  <c r="H273" i="1"/>
  <c r="J361" i="1"/>
  <c r="I276" i="1"/>
  <c r="L129" i="1"/>
  <c r="E406" i="1"/>
  <c r="D381" i="1"/>
  <c r="J349" i="1"/>
  <c r="L204" i="1"/>
  <c r="L416" i="1" s="1"/>
  <c r="K416" i="1"/>
  <c r="K207" i="1"/>
  <c r="J426" i="1"/>
  <c r="K420" i="1"/>
  <c r="J348" i="1"/>
  <c r="K196" i="1"/>
  <c r="K240" i="1" s="1"/>
  <c r="K264" i="1" s="1"/>
  <c r="K323" i="1" s="1"/>
  <c r="K412" i="1" s="1"/>
  <c r="D137" i="1"/>
  <c r="I181" i="1"/>
  <c r="J181" i="1" s="1"/>
  <c r="K181" i="1" s="1"/>
  <c r="L181" i="1" s="1"/>
  <c r="H180" i="1"/>
  <c r="D108" i="1"/>
  <c r="L153" i="1"/>
  <c r="D351" i="1" l="1"/>
  <c r="D352" i="1" s="1"/>
  <c r="B39" i="1"/>
  <c r="L20" i="1" s="1"/>
  <c r="B40" i="1"/>
  <c r="L21" i="1" s="1"/>
  <c r="B41" i="1"/>
  <c r="L22" i="1" s="1"/>
  <c r="F351" i="1"/>
  <c r="F352" i="1" s="1"/>
  <c r="E351" i="1"/>
  <c r="E352" i="1" s="1"/>
  <c r="G287" i="1"/>
  <c r="G322" i="1"/>
  <c r="F322" i="1" s="1"/>
  <c r="E322" i="1" s="1"/>
  <c r="D322" i="1" s="1"/>
  <c r="H412" i="1"/>
  <c r="G411" i="1" s="1"/>
  <c r="F411" i="1" s="1"/>
  <c r="E411" i="1" s="1"/>
  <c r="D411" i="1" s="1"/>
  <c r="G221" i="1"/>
  <c r="M221" i="1" s="1"/>
  <c r="F362" i="1"/>
  <c r="F231" i="1" s="1"/>
  <c r="F232" i="1" s="1"/>
  <c r="F222" i="1"/>
  <c r="F248" i="1" s="1"/>
  <c r="D462" i="1"/>
  <c r="E462" i="1" s="1"/>
  <c r="F48" i="1"/>
  <c r="E107" i="1"/>
  <c r="G222" i="1"/>
  <c r="G248" i="1" s="1"/>
  <c r="E47" i="1"/>
  <c r="E344" i="1"/>
  <c r="M78" i="1"/>
  <c r="E105" i="1"/>
  <c r="E417" i="1"/>
  <c r="H418" i="1"/>
  <c r="H346" i="1" s="1"/>
  <c r="F344" i="1"/>
  <c r="M72" i="1"/>
  <c r="G332" i="1"/>
  <c r="G464" i="1"/>
  <c r="G465" i="1" s="1"/>
  <c r="G81" i="1"/>
  <c r="L357" i="1"/>
  <c r="H357" i="1" s="1"/>
  <c r="I357" i="1" s="1"/>
  <c r="J357" i="1" s="1"/>
  <c r="K357" i="1" s="1"/>
  <c r="F266" i="1"/>
  <c r="F107" i="1"/>
  <c r="G96" i="1"/>
  <c r="H96" i="1" s="1"/>
  <c r="G97" i="1"/>
  <c r="M97" i="1" s="1"/>
  <c r="G104" i="1"/>
  <c r="G266" i="1" s="1"/>
  <c r="G100" i="1"/>
  <c r="C54" i="1"/>
  <c r="G122" i="1"/>
  <c r="C50" i="1"/>
  <c r="F49" i="1"/>
  <c r="M87" i="1"/>
  <c r="G93" i="1"/>
  <c r="M93" i="1" s="1"/>
  <c r="D342" i="1"/>
  <c r="G99" i="1"/>
  <c r="F417" i="1"/>
  <c r="G347" i="1"/>
  <c r="H419" i="1"/>
  <c r="G341" i="1"/>
  <c r="K361" i="1"/>
  <c r="J276" i="1"/>
  <c r="J331" i="1"/>
  <c r="J273" i="1" s="1"/>
  <c r="G379" i="1"/>
  <c r="G232" i="1"/>
  <c r="K349" i="1"/>
  <c r="L207" i="1"/>
  <c r="L426" i="1" s="1"/>
  <c r="K426" i="1"/>
  <c r="K329" i="1"/>
  <c r="L420" i="1"/>
  <c r="L348" i="1" s="1"/>
  <c r="K348" i="1"/>
  <c r="H293" i="1"/>
  <c r="H292" i="1"/>
  <c r="D315" i="1"/>
  <c r="D139" i="1"/>
  <c r="I180" i="1"/>
  <c r="N181" i="1"/>
  <c r="F139" i="1"/>
  <c r="E139" i="1"/>
  <c r="F108" i="1" l="1"/>
  <c r="G250" i="1"/>
  <c r="F250" i="1"/>
  <c r="F434" i="1"/>
  <c r="E434" i="1"/>
  <c r="E435" i="1" s="1"/>
  <c r="N338" i="1"/>
  <c r="N341" i="1" s="1"/>
  <c r="E449" i="1"/>
  <c r="E109" i="1"/>
  <c r="F407" i="1"/>
  <c r="G351" i="1"/>
  <c r="G352" i="1" s="1"/>
  <c r="G380" i="1"/>
  <c r="G381" i="1" s="1"/>
  <c r="L221" i="1"/>
  <c r="B55" i="1" s="1"/>
  <c r="H221" i="1" s="1"/>
  <c r="I221" i="1" s="1"/>
  <c r="J221" i="1" s="1"/>
  <c r="K221" i="1" s="1"/>
  <c r="F379" i="1"/>
  <c r="F55" i="1"/>
  <c r="E55" i="1"/>
  <c r="E407" i="1"/>
  <c r="I418" i="1"/>
  <c r="J418" i="1" s="1"/>
  <c r="K418" i="1" s="1"/>
  <c r="L418" i="1" s="1"/>
  <c r="L346" i="1" s="1"/>
  <c r="F462" i="1"/>
  <c r="H462" i="1"/>
  <c r="E422" i="1"/>
  <c r="E108" i="1"/>
  <c r="E452" i="1"/>
  <c r="E315" i="1"/>
  <c r="E316" i="1" s="1"/>
  <c r="E342" i="1"/>
  <c r="D465" i="1"/>
  <c r="E465" i="1" s="1"/>
  <c r="F54" i="1"/>
  <c r="M96" i="1"/>
  <c r="F315" i="1"/>
  <c r="F316" i="1" s="1"/>
  <c r="F449" i="1"/>
  <c r="F109" i="1"/>
  <c r="F452" i="1"/>
  <c r="G105" i="1"/>
  <c r="M105" i="1" s="1"/>
  <c r="E54" i="1"/>
  <c r="B54" i="1" s="1"/>
  <c r="F50" i="1"/>
  <c r="G117" i="1"/>
  <c r="G118" i="1"/>
  <c r="M118" i="1" s="1"/>
  <c r="G450" i="1"/>
  <c r="G107" i="1"/>
  <c r="E50" i="1"/>
  <c r="I96" i="1"/>
  <c r="F342" i="1"/>
  <c r="I125" i="1"/>
  <c r="F422" i="1"/>
  <c r="H394" i="1"/>
  <c r="H347" i="1"/>
  <c r="I419" i="1"/>
  <c r="G417" i="1"/>
  <c r="G344" i="1"/>
  <c r="L361" i="1"/>
  <c r="L276" i="1" s="1"/>
  <c r="K276" i="1"/>
  <c r="K331" i="1"/>
  <c r="H392" i="1"/>
  <c r="G406" i="1"/>
  <c r="H295" i="1"/>
  <c r="L349" i="1"/>
  <c r="J180" i="1"/>
  <c r="I293" i="1"/>
  <c r="L196" i="1"/>
  <c r="L240" i="1" s="1"/>
  <c r="L264" i="1" s="1"/>
  <c r="L323" i="1" s="1"/>
  <c r="L412" i="1" s="1"/>
  <c r="D318" i="1"/>
  <c r="D147" i="1"/>
  <c r="D151" i="1"/>
  <c r="D143" i="1"/>
  <c r="E143" i="1"/>
  <c r="E151" i="1"/>
  <c r="E147" i="1"/>
  <c r="F151" i="1"/>
  <c r="F147" i="1"/>
  <c r="F143" i="1"/>
  <c r="F435" i="1" l="1"/>
  <c r="G434" i="1"/>
  <c r="G485" i="1"/>
  <c r="D485" i="1" s="1"/>
  <c r="E485" i="1" s="1"/>
  <c r="F380" i="1"/>
  <c r="F381" i="1" s="1"/>
  <c r="F406" i="1"/>
  <c r="I346" i="1"/>
  <c r="J346" i="1"/>
  <c r="F465" i="1"/>
  <c r="K346" i="1"/>
  <c r="E318" i="1"/>
  <c r="E319" i="1" s="1"/>
  <c r="H465" i="1"/>
  <c r="F318" i="1"/>
  <c r="F319" i="1" s="1"/>
  <c r="G452" i="1"/>
  <c r="G109" i="1"/>
  <c r="M109" i="1" s="1"/>
  <c r="G449" i="1"/>
  <c r="J47" i="1"/>
  <c r="M117" i="1"/>
  <c r="G108" i="1"/>
  <c r="G137" i="1"/>
  <c r="J96" i="1"/>
  <c r="F156" i="1"/>
  <c r="E156" i="1"/>
  <c r="D156" i="1"/>
  <c r="D178" i="1" s="1"/>
  <c r="J125" i="1"/>
  <c r="K125" i="1" s="1"/>
  <c r="L125" i="1" s="1"/>
  <c r="I394" i="1"/>
  <c r="J419" i="1"/>
  <c r="I347" i="1"/>
  <c r="H350" i="1"/>
  <c r="G422" i="1"/>
  <c r="G407" i="1"/>
  <c r="E53" i="1"/>
  <c r="F53" i="1"/>
  <c r="G342" i="1"/>
  <c r="L331" i="1"/>
  <c r="L273" i="1" s="1"/>
  <c r="K273" i="1"/>
  <c r="I131" i="1"/>
  <c r="I137" i="1" s="1"/>
  <c r="I392" i="1"/>
  <c r="K180" i="1"/>
  <c r="E438" i="1"/>
  <c r="E437" i="1"/>
  <c r="F437" i="1"/>
  <c r="F438" i="1"/>
  <c r="N221" i="1"/>
  <c r="F178" i="1" l="1"/>
  <c r="F189" i="1" s="1"/>
  <c r="H485" i="1"/>
  <c r="F485" i="1"/>
  <c r="E178" i="1"/>
  <c r="E159" i="1"/>
  <c r="D189" i="1"/>
  <c r="D177" i="1"/>
  <c r="M108" i="1"/>
  <c r="G453" i="1"/>
  <c r="G315" i="1"/>
  <c r="G139" i="1"/>
  <c r="K96" i="1"/>
  <c r="D185" i="1"/>
  <c r="D184" i="1" s="1"/>
  <c r="D158" i="1"/>
  <c r="E167" i="1"/>
  <c r="F167" i="1"/>
  <c r="K419" i="1"/>
  <c r="J347" i="1"/>
  <c r="G435" i="1"/>
  <c r="H422" i="1"/>
  <c r="I350" i="1"/>
  <c r="J131" i="1"/>
  <c r="J137" i="1" s="1"/>
  <c r="L180" i="1"/>
  <c r="F158" i="1"/>
  <c r="F185" i="1"/>
  <c r="F159" i="1"/>
  <c r="E185" i="1"/>
  <c r="E158" i="1"/>
  <c r="F177" i="1" l="1"/>
  <c r="E265" i="1"/>
  <c r="G151" i="1"/>
  <c r="F184" i="1"/>
  <c r="F265" i="1"/>
  <c r="E184" i="1"/>
  <c r="E187" i="1"/>
  <c r="E189" i="1"/>
  <c r="E177" i="1"/>
  <c r="G318" i="1"/>
  <c r="G316" i="1"/>
  <c r="G143" i="1"/>
  <c r="M143" i="1" s="1"/>
  <c r="G147" i="1"/>
  <c r="L96" i="1"/>
  <c r="L419" i="1"/>
  <c r="L347" i="1" s="1"/>
  <c r="K347" i="1"/>
  <c r="J350" i="1"/>
  <c r="I422" i="1"/>
  <c r="K131" i="1"/>
  <c r="K137" i="1" s="1"/>
  <c r="F187" i="1"/>
  <c r="G437" i="1" l="1"/>
  <c r="F278" i="1"/>
  <c r="E278" i="1"/>
  <c r="G319" i="1"/>
  <c r="G156" i="1"/>
  <c r="G438" i="1"/>
  <c r="F51" i="1"/>
  <c r="E51" i="1"/>
  <c r="B51" i="1" s="1"/>
  <c r="K350" i="1"/>
  <c r="J422" i="1"/>
  <c r="L131" i="1"/>
  <c r="L137" i="1" s="1"/>
  <c r="J48" i="1" l="1"/>
  <c r="G178" i="1"/>
  <c r="D145" i="1"/>
  <c r="E145" i="1"/>
  <c r="F145" i="1"/>
  <c r="G145" i="1"/>
  <c r="E279" i="1"/>
  <c r="F279" i="1"/>
  <c r="G158" i="1"/>
  <c r="G167" i="1"/>
  <c r="G185" i="1"/>
  <c r="G159" i="1"/>
  <c r="M159" i="1" s="1"/>
  <c r="K422" i="1"/>
  <c r="L350" i="1"/>
  <c r="L422" i="1" s="1"/>
  <c r="E241" i="1" l="1"/>
  <c r="G265" i="1"/>
  <c r="G189" i="1"/>
  <c r="G177" i="1"/>
  <c r="G187" i="1"/>
  <c r="G184" i="1"/>
  <c r="S224" i="1"/>
  <c r="F312" i="1"/>
  <c r="F309" i="1"/>
  <c r="F280" i="1"/>
  <c r="R224" i="1"/>
  <c r="E309" i="1"/>
  <c r="E312" i="1"/>
  <c r="E280" i="1"/>
  <c r="H143" i="1"/>
  <c r="D241" i="1"/>
  <c r="D255" i="1" s="1"/>
  <c r="G241" i="1"/>
  <c r="G255" i="1" l="1"/>
  <c r="E251" i="1"/>
  <c r="E255" i="1"/>
  <c r="E256" i="1" s="1"/>
  <c r="G278" i="1"/>
  <c r="G279" i="1" s="1"/>
  <c r="E242" i="1"/>
  <c r="I143" i="1"/>
  <c r="J143" i="1" s="1"/>
  <c r="K143" i="1" s="1"/>
  <c r="L143" i="1" s="1"/>
  <c r="S226" i="1"/>
  <c r="F313" i="1"/>
  <c r="R226" i="1"/>
  <c r="E313" i="1"/>
  <c r="F241" i="1"/>
  <c r="G439" i="1"/>
  <c r="D251" i="1"/>
  <c r="G440" i="1"/>
  <c r="G251" i="1"/>
  <c r="E253" i="1" l="1"/>
  <c r="G242" i="1"/>
  <c r="G253" i="1" s="1"/>
  <c r="N143" i="1"/>
  <c r="M279" i="1"/>
  <c r="M312" i="1"/>
  <c r="T224" i="1"/>
  <c r="G312" i="1"/>
  <c r="G309" i="1"/>
  <c r="G280" i="1"/>
  <c r="G467" i="1"/>
  <c r="G468" i="1" s="1"/>
  <c r="F255" i="1"/>
  <c r="G256" i="1" s="1"/>
  <c r="F251" i="1"/>
  <c r="F439" i="1"/>
  <c r="F242" i="1"/>
  <c r="F440" i="1"/>
  <c r="D468" i="1" l="1"/>
  <c r="H468" i="1" s="1"/>
  <c r="T226" i="1"/>
  <c r="G313" i="1"/>
  <c r="G470" i="1"/>
  <c r="G471" i="1" s="1"/>
  <c r="F256" i="1"/>
  <c r="F253" i="1"/>
  <c r="F468" i="1" l="1"/>
  <c r="E468" i="1"/>
  <c r="H327" i="1" l="1"/>
  <c r="D407" i="1" l="1"/>
  <c r="D422" i="1"/>
  <c r="D435" i="1" s="1"/>
  <c r="I327" i="1"/>
  <c r="E440" i="1" l="1"/>
  <c r="E439" i="1"/>
  <c r="J327" i="1"/>
  <c r="G454" i="1" l="1"/>
  <c r="R413" i="1"/>
  <c r="S413" i="1" s="1"/>
  <c r="P414" i="1"/>
  <c r="G455" i="1"/>
  <c r="K327" i="1"/>
  <c r="H330" i="1" l="1"/>
  <c r="H415" i="1"/>
  <c r="H272" i="1" l="1"/>
  <c r="I330" i="1" l="1"/>
  <c r="I415" i="1"/>
  <c r="I272" i="1" l="1"/>
  <c r="J415" i="1"/>
  <c r="J330" i="1"/>
  <c r="J272" i="1" l="1"/>
  <c r="K330" i="1" l="1"/>
  <c r="L330" i="1"/>
  <c r="K415" i="1"/>
  <c r="L415" i="1"/>
  <c r="L272" i="1" l="1"/>
  <c r="K272" i="1"/>
  <c r="B33" i="1" l="1"/>
  <c r="D397" i="1"/>
  <c r="D406" i="1" s="1"/>
  <c r="D398" i="1" l="1"/>
  <c r="O30" i="1" l="1"/>
  <c r="P30" i="1" l="1"/>
  <c r="Q30" i="1" l="1"/>
  <c r="R24" i="1" s="1"/>
  <c r="D167" i="1" l="1"/>
  <c r="G487" i="1" l="1"/>
  <c r="D265" i="1"/>
  <c r="D278" i="1" s="1"/>
  <c r="D487" i="1" l="1"/>
  <c r="H487" i="1" s="1"/>
  <c r="D279" i="1" l="1"/>
  <c r="E487" i="1"/>
  <c r="F487" i="1"/>
  <c r="D312" i="1" l="1"/>
  <c r="D309" i="1"/>
  <c r="G481" i="1"/>
  <c r="D280" i="1"/>
  <c r="N96" i="1"/>
  <c r="D481" i="1" l="1"/>
  <c r="H481" i="1" s="1"/>
  <c r="D313" i="1"/>
  <c r="G483" i="1"/>
  <c r="D483" i="1" l="1"/>
  <c r="H483" i="1" s="1"/>
  <c r="F481" i="1"/>
  <c r="E481" i="1"/>
  <c r="F483" i="1" l="1"/>
  <c r="E483" i="1"/>
  <c r="B34" i="1" l="1"/>
  <c r="B36" i="1" s="1"/>
  <c r="B37" i="1" s="1"/>
  <c r="B42" i="1" l="1"/>
  <c r="R417" i="1" l="1"/>
  <c r="Q417" i="1" s="1"/>
  <c r="S418" i="1" s="1"/>
  <c r="AA253" i="1"/>
  <c r="E442" i="1"/>
  <c r="F442" i="1"/>
  <c r="G442" i="1"/>
  <c r="D62" i="1" l="1"/>
  <c r="AA251" i="1"/>
  <c r="D61" i="1" s="1"/>
  <c r="S417" i="1"/>
  <c r="Q416" i="1" s="1"/>
  <c r="S416" i="1" s="1"/>
  <c r="Q415" i="1" s="1"/>
  <c r="Q414" i="1"/>
  <c r="D448" i="1" l="1"/>
  <c r="D451" i="1"/>
  <c r="D452" i="1"/>
  <c r="D316" i="1"/>
  <c r="D319" i="1"/>
  <c r="D371" i="1"/>
  <c r="H70" i="1" l="1"/>
  <c r="B59" i="1" l="1"/>
  <c r="H74" i="1"/>
  <c r="H328" i="1"/>
  <c r="H95" i="1"/>
  <c r="N340" i="1" s="1"/>
  <c r="N339" i="1" s="1"/>
  <c r="N336" i="1" s="1"/>
  <c r="H197" i="1" s="1"/>
  <c r="H75" i="1"/>
  <c r="H220" i="1"/>
  <c r="F170" i="1"/>
  <c r="H169" i="1" s="1"/>
  <c r="H170" i="1" s="1"/>
  <c r="I70" i="1"/>
  <c r="H172" i="1" l="1"/>
  <c r="H87" i="1" s="1"/>
  <c r="H173" i="1"/>
  <c r="H93" i="1" s="1"/>
  <c r="H171" i="1"/>
  <c r="H78" i="1" s="1"/>
  <c r="H104" i="1"/>
  <c r="H340" i="1"/>
  <c r="H97" i="1"/>
  <c r="H245" i="1"/>
  <c r="I95" i="1"/>
  <c r="I328" i="1"/>
  <c r="I75" i="1"/>
  <c r="I74" i="1"/>
  <c r="I220" i="1"/>
  <c r="J70" i="1"/>
  <c r="M242" i="1"/>
  <c r="H199" i="1"/>
  <c r="H246" i="1"/>
  <c r="H286" i="1"/>
  <c r="H100" i="1"/>
  <c r="H417" i="1"/>
  <c r="I197" i="1"/>
  <c r="H222" i="1"/>
  <c r="H414" i="1"/>
  <c r="B53" i="1"/>
  <c r="G170" i="1" l="1"/>
  <c r="I169" i="1" s="1"/>
  <c r="I170" i="1" s="1"/>
  <c r="N72" i="1"/>
  <c r="AD242" i="1"/>
  <c r="N242" i="1" s="1"/>
  <c r="I222" i="1"/>
  <c r="I248" i="1" s="1"/>
  <c r="I269" i="1" s="1"/>
  <c r="H266" i="1"/>
  <c r="H105" i="1"/>
  <c r="H248" i="1"/>
  <c r="H269" i="1" s="1"/>
  <c r="H232" i="1"/>
  <c r="H77" i="1"/>
  <c r="H202" i="1"/>
  <c r="H270" i="1"/>
  <c r="J74" i="1"/>
  <c r="J75" i="1"/>
  <c r="J328" i="1"/>
  <c r="J414" i="1" s="1"/>
  <c r="J95" i="1"/>
  <c r="J220" i="1"/>
  <c r="K70" i="1"/>
  <c r="I414" i="1"/>
  <c r="I270" i="1" s="1"/>
  <c r="H92" i="1"/>
  <c r="H289" i="1"/>
  <c r="H339" i="1"/>
  <c r="B47" i="1"/>
  <c r="I100" i="1"/>
  <c r="I199" i="1"/>
  <c r="I286" i="1"/>
  <c r="I246" i="1"/>
  <c r="I417" i="1"/>
  <c r="H342" i="1"/>
  <c r="I245" i="1"/>
  <c r="I97" i="1"/>
  <c r="I104" i="1"/>
  <c r="I340" i="1"/>
  <c r="H86" i="1"/>
  <c r="J100" i="1" l="1"/>
  <c r="H250" i="1"/>
  <c r="I105" i="1"/>
  <c r="I266" i="1"/>
  <c r="J104" i="1"/>
  <c r="J97" i="1"/>
  <c r="J245" i="1"/>
  <c r="H326" i="1"/>
  <c r="I171" i="1"/>
  <c r="I78" i="1" s="1"/>
  <c r="H116" i="1"/>
  <c r="H80" i="1"/>
  <c r="O242" i="1"/>
  <c r="I250" i="1"/>
  <c r="G47" i="1"/>
  <c r="D53" i="1"/>
  <c r="K75" i="1"/>
  <c r="K74" i="1"/>
  <c r="K328" i="1"/>
  <c r="K414" i="1" s="1"/>
  <c r="K270" i="1" s="1"/>
  <c r="K95" i="1"/>
  <c r="K220" i="1"/>
  <c r="L70" i="1"/>
  <c r="J202" i="1"/>
  <c r="H430" i="1"/>
  <c r="I232" i="1"/>
  <c r="I342" i="1"/>
  <c r="H88" i="1"/>
  <c r="I172" i="1"/>
  <c r="I87" i="1" s="1"/>
  <c r="J340" i="1"/>
  <c r="I289" i="1"/>
  <c r="H99" i="1"/>
  <c r="H341" i="1"/>
  <c r="I339" i="1"/>
  <c r="I173" i="1"/>
  <c r="I93" i="1" s="1"/>
  <c r="H114" i="1"/>
  <c r="H90" i="1"/>
  <c r="I202" i="1"/>
  <c r="J270" i="1"/>
  <c r="J222" i="1"/>
  <c r="J248" i="1" s="1"/>
  <c r="J269" i="1" s="1"/>
  <c r="K100" i="1" l="1"/>
  <c r="K197" i="1" s="1"/>
  <c r="J197" i="1"/>
  <c r="J417" i="1" s="1"/>
  <c r="J342" i="1" s="1"/>
  <c r="H356" i="1"/>
  <c r="K340" i="1"/>
  <c r="I92" i="1"/>
  <c r="L92" i="1"/>
  <c r="L75" i="1"/>
  <c r="L328" i="1"/>
  <c r="L414" i="1" s="1"/>
  <c r="L202" i="1" s="1"/>
  <c r="L74" i="1"/>
  <c r="L220" i="1"/>
  <c r="L95" i="1"/>
  <c r="I99" i="1"/>
  <c r="I341" i="1"/>
  <c r="L77" i="1"/>
  <c r="L80" i="1" s="1"/>
  <c r="I77" i="1"/>
  <c r="J232" i="1"/>
  <c r="I430" i="1"/>
  <c r="K97" i="1"/>
  <c r="K245" i="1"/>
  <c r="K104" i="1"/>
  <c r="H84" i="1"/>
  <c r="H83" i="1"/>
  <c r="H81" i="1"/>
  <c r="L86" i="1"/>
  <c r="I86" i="1"/>
  <c r="K222" i="1"/>
  <c r="K248" i="1" s="1"/>
  <c r="K269" i="1" s="1"/>
  <c r="H344" i="1"/>
  <c r="K202" i="1"/>
  <c r="P242" i="1"/>
  <c r="H145" i="1"/>
  <c r="H241" i="1" s="1"/>
  <c r="H117" i="1"/>
  <c r="H118" i="1"/>
  <c r="H107" i="1"/>
  <c r="H139" i="1"/>
  <c r="H271" i="1"/>
  <c r="H413" i="1"/>
  <c r="J266" i="1"/>
  <c r="J105" i="1"/>
  <c r="J286" i="1" l="1"/>
  <c r="J199" i="1"/>
  <c r="J246" i="1"/>
  <c r="J250" i="1" s="1"/>
  <c r="J198" i="1"/>
  <c r="H424" i="1"/>
  <c r="H205" i="1" s="1"/>
  <c r="H274" i="1"/>
  <c r="L340" i="1"/>
  <c r="L270" i="1"/>
  <c r="L83" i="1"/>
  <c r="L81" i="1"/>
  <c r="L84" i="1"/>
  <c r="H112" i="1"/>
  <c r="H111" i="1"/>
  <c r="H108" i="1"/>
  <c r="H109" i="1"/>
  <c r="K198" i="1"/>
  <c r="K286" i="1"/>
  <c r="K289" i="1" s="1"/>
  <c r="K199" i="1"/>
  <c r="K246" i="1"/>
  <c r="K250" i="1" s="1"/>
  <c r="J78" i="1"/>
  <c r="L245" i="1"/>
  <c r="L104" i="1"/>
  <c r="L97" i="1"/>
  <c r="N97" i="1" s="1"/>
  <c r="L197" i="1"/>
  <c r="J93" i="1"/>
  <c r="J87" i="1"/>
  <c r="K266" i="1"/>
  <c r="K105" i="1"/>
  <c r="J430" i="1"/>
  <c r="K232" i="1"/>
  <c r="I326" i="1"/>
  <c r="I116" i="1"/>
  <c r="I80" i="1"/>
  <c r="I344" i="1"/>
  <c r="L222" i="1"/>
  <c r="L248" i="1" s="1"/>
  <c r="L269" i="1" s="1"/>
  <c r="K417" i="1"/>
  <c r="L114" i="1"/>
  <c r="H201" i="1"/>
  <c r="H142" i="1"/>
  <c r="Q242" i="1"/>
  <c r="I88" i="1"/>
  <c r="L326" i="1"/>
  <c r="L413" i="1" s="1"/>
  <c r="I90" i="1"/>
  <c r="I114" i="1"/>
  <c r="H242" i="1"/>
  <c r="H260" i="1"/>
  <c r="H259" i="1"/>
  <c r="H255" i="1"/>
  <c r="H251" i="1"/>
  <c r="L116" i="1"/>
  <c r="J289" i="1" l="1"/>
  <c r="J339" i="1"/>
  <c r="J341" i="1" s="1"/>
  <c r="J344" i="1" s="1"/>
  <c r="I356" i="1"/>
  <c r="H147" i="1"/>
  <c r="H156" i="1"/>
  <c r="I117" i="1"/>
  <c r="I118" i="1"/>
  <c r="I107" i="1"/>
  <c r="I145" i="1"/>
  <c r="I241" i="1" s="1"/>
  <c r="I139" i="1"/>
  <c r="L232" i="1"/>
  <c r="L430" i="1" s="1"/>
  <c r="K430" i="1"/>
  <c r="K87" i="1"/>
  <c r="K86" i="1" s="1"/>
  <c r="J86" i="1"/>
  <c r="J88" i="1" s="1"/>
  <c r="K342" i="1"/>
  <c r="L417" i="1"/>
  <c r="L342" i="1" s="1"/>
  <c r="L105" i="1"/>
  <c r="N105" i="1" s="1"/>
  <c r="L266" i="1"/>
  <c r="H315" i="1"/>
  <c r="L117" i="1"/>
  <c r="L145" i="1"/>
  <c r="L241" i="1" s="1"/>
  <c r="R116" i="1"/>
  <c r="L107" i="1"/>
  <c r="L139" i="1"/>
  <c r="H256" i="1"/>
  <c r="H257" i="1"/>
  <c r="H234" i="1"/>
  <c r="H235" i="1" s="1"/>
  <c r="H206" i="1" s="1"/>
  <c r="H219" i="1" s="1"/>
  <c r="I413" i="1"/>
  <c r="I271" i="1"/>
  <c r="J92" i="1"/>
  <c r="K93" i="1"/>
  <c r="K92" i="1" s="1"/>
  <c r="H253" i="1"/>
  <c r="L201" i="1"/>
  <c r="R242" i="1"/>
  <c r="I84" i="1"/>
  <c r="I83" i="1"/>
  <c r="I81" i="1"/>
  <c r="L198" i="1"/>
  <c r="N198" i="1" s="1"/>
  <c r="L286" i="1"/>
  <c r="L289" i="1" s="1"/>
  <c r="L199" i="1"/>
  <c r="N199" i="1" s="1"/>
  <c r="L246" i="1"/>
  <c r="L250" i="1" s="1"/>
  <c r="K78" i="1"/>
  <c r="K77" i="1" s="1"/>
  <c r="J77" i="1"/>
  <c r="K339" i="1" l="1"/>
  <c r="K341" i="1" s="1"/>
  <c r="K344" i="1" s="1"/>
  <c r="J99" i="1"/>
  <c r="I424" i="1"/>
  <c r="I205" i="1" s="1"/>
  <c r="I274" i="1"/>
  <c r="H438" i="1"/>
  <c r="H177" i="1"/>
  <c r="H185" i="1"/>
  <c r="H159" i="1"/>
  <c r="H158" i="1"/>
  <c r="H167" i="1"/>
  <c r="K99" i="1"/>
  <c r="N78" i="1"/>
  <c r="B50" i="1"/>
  <c r="N93" i="1"/>
  <c r="B49" i="1"/>
  <c r="B48" i="1"/>
  <c r="C59" i="1"/>
  <c r="C7" i="1"/>
  <c r="L255" i="1"/>
  <c r="L260" i="1"/>
  <c r="L259" i="1"/>
  <c r="M241" i="1"/>
  <c r="J90" i="1"/>
  <c r="K90" i="1" s="1"/>
  <c r="L90" i="1" s="1"/>
  <c r="J114" i="1"/>
  <c r="I111" i="1"/>
  <c r="I108" i="1"/>
  <c r="I112" i="1"/>
  <c r="I109" i="1"/>
  <c r="L251" i="1"/>
  <c r="B61" i="1" s="1"/>
  <c r="B62" i="1" s="1"/>
  <c r="C6" i="1" s="1"/>
  <c r="L142" i="1"/>
  <c r="L156" i="1" s="1"/>
  <c r="I142" i="1"/>
  <c r="J326" i="1"/>
  <c r="J80" i="1"/>
  <c r="J116" i="1"/>
  <c r="I201" i="1"/>
  <c r="H425" i="1"/>
  <c r="H434" i="1" s="1"/>
  <c r="H358" i="1"/>
  <c r="K88" i="1"/>
  <c r="L88" i="1"/>
  <c r="I255" i="1"/>
  <c r="I242" i="1"/>
  <c r="I260" i="1"/>
  <c r="I259" i="1"/>
  <c r="I251" i="1"/>
  <c r="K326" i="1"/>
  <c r="K116" i="1"/>
  <c r="K80" i="1"/>
  <c r="S242" i="1"/>
  <c r="K114" i="1"/>
  <c r="L111" i="1"/>
  <c r="L108" i="1"/>
  <c r="L112" i="1"/>
  <c r="H316" i="1"/>
  <c r="H318" i="1"/>
  <c r="H319" i="1" s="1"/>
  <c r="N87" i="1"/>
  <c r="L339" i="1" l="1"/>
  <c r="L99" i="1" s="1"/>
  <c r="H496" i="1"/>
  <c r="H184" i="1"/>
  <c r="H187" i="1"/>
  <c r="H178" i="1"/>
  <c r="H393" i="1"/>
  <c r="H495" i="1"/>
  <c r="H265" i="1"/>
  <c r="K356" i="1"/>
  <c r="K424" i="1" s="1"/>
  <c r="K205" i="1" s="1"/>
  <c r="L315" i="1"/>
  <c r="L318" i="1" s="1"/>
  <c r="L319" i="1" s="1"/>
  <c r="L147" i="1"/>
  <c r="I147" i="1"/>
  <c r="I156" i="1"/>
  <c r="K83" i="1"/>
  <c r="K81" i="1"/>
  <c r="K84" i="1"/>
  <c r="J84" i="1"/>
  <c r="J81" i="1"/>
  <c r="J83" i="1"/>
  <c r="K117" i="1"/>
  <c r="K145" i="1"/>
  <c r="K241" i="1" s="1"/>
  <c r="K118" i="1"/>
  <c r="K107" i="1"/>
  <c r="K139" i="1"/>
  <c r="L118" i="1"/>
  <c r="I257" i="1"/>
  <c r="I256" i="1"/>
  <c r="K271" i="1"/>
  <c r="J413" i="1"/>
  <c r="J271" i="1"/>
  <c r="N241" i="1"/>
  <c r="L257" i="1"/>
  <c r="C60" i="1"/>
  <c r="T242" i="1"/>
  <c r="I253" i="1"/>
  <c r="H275" i="1"/>
  <c r="H362" i="1"/>
  <c r="H379" i="1" s="1"/>
  <c r="I234" i="1"/>
  <c r="I235" i="1" s="1"/>
  <c r="I206" i="1" s="1"/>
  <c r="I219" i="1" s="1"/>
  <c r="J356" i="1"/>
  <c r="R156" i="1"/>
  <c r="L158" i="1"/>
  <c r="L177" i="1"/>
  <c r="L184" i="1" s="1"/>
  <c r="L185" i="1"/>
  <c r="L167" i="1"/>
  <c r="I315" i="1"/>
  <c r="L271" i="1"/>
  <c r="K413" i="1"/>
  <c r="L356" i="1"/>
  <c r="H433" i="1"/>
  <c r="J118" i="1"/>
  <c r="J145" i="1"/>
  <c r="J241" i="1" s="1"/>
  <c r="J117" i="1"/>
  <c r="J107" i="1"/>
  <c r="J139" i="1"/>
  <c r="L341" i="1" l="1"/>
  <c r="L344" i="1" s="1"/>
  <c r="J63" i="1"/>
  <c r="H397" i="1"/>
  <c r="H325" i="1" s="1"/>
  <c r="H279" i="1"/>
  <c r="H278" i="1"/>
  <c r="L316" i="1"/>
  <c r="I167" i="1"/>
  <c r="I158" i="1"/>
  <c r="I185" i="1"/>
  <c r="N118" i="1"/>
  <c r="I177" i="1"/>
  <c r="I159" i="1"/>
  <c r="K255" i="1"/>
  <c r="K242" i="1"/>
  <c r="K260" i="1"/>
  <c r="K259" i="1"/>
  <c r="K251" i="1"/>
  <c r="L242" i="1"/>
  <c r="J112" i="1"/>
  <c r="J108" i="1"/>
  <c r="J109" i="1"/>
  <c r="J111" i="1"/>
  <c r="I318" i="1"/>
  <c r="I319" i="1" s="1"/>
  <c r="I316" i="1"/>
  <c r="L495" i="1"/>
  <c r="L178" i="1"/>
  <c r="L496" i="1"/>
  <c r="L265" i="1"/>
  <c r="J274" i="1"/>
  <c r="J424" i="1"/>
  <c r="J205" i="1" s="1"/>
  <c r="H435" i="1"/>
  <c r="H439" i="1"/>
  <c r="J201" i="1"/>
  <c r="K142" i="1"/>
  <c r="K156" i="1" s="1"/>
  <c r="N117" i="1"/>
  <c r="O117" i="1" s="1"/>
  <c r="J142" i="1"/>
  <c r="J315" i="1" s="1"/>
  <c r="L424" i="1"/>
  <c r="L274" i="1"/>
  <c r="I425" i="1"/>
  <c r="I434" i="1" s="1"/>
  <c r="I358" i="1"/>
  <c r="O241" i="1"/>
  <c r="K274" i="1"/>
  <c r="J242" i="1"/>
  <c r="J255" i="1"/>
  <c r="J259" i="1"/>
  <c r="J260" i="1"/>
  <c r="J251" i="1"/>
  <c r="K201" i="1"/>
  <c r="U242" i="1"/>
  <c r="K111" i="1"/>
  <c r="K112" i="1"/>
  <c r="K109" i="1"/>
  <c r="K108" i="1"/>
  <c r="L109" i="1"/>
  <c r="I187" i="1" l="1"/>
  <c r="H406" i="1"/>
  <c r="H437" i="1"/>
  <c r="H403" i="1"/>
  <c r="H404" i="1" s="1"/>
  <c r="H490" i="1"/>
  <c r="I265" i="1"/>
  <c r="H312" i="1"/>
  <c r="H489" i="1"/>
  <c r="I178" i="1"/>
  <c r="H309" i="1"/>
  <c r="I496" i="1"/>
  <c r="I495" i="1"/>
  <c r="K315" i="1"/>
  <c r="K316" i="1" s="1"/>
  <c r="I184" i="1"/>
  <c r="J147" i="1"/>
  <c r="J316" i="1"/>
  <c r="J318" i="1"/>
  <c r="J319" i="1" s="1"/>
  <c r="K158" i="1"/>
  <c r="K185" i="1"/>
  <c r="K177" i="1"/>
  <c r="K184" i="1" s="1"/>
  <c r="K167" i="1"/>
  <c r="L159" i="1"/>
  <c r="V242" i="1"/>
  <c r="K234" i="1"/>
  <c r="K235" i="1" s="1"/>
  <c r="K206" i="1" s="1"/>
  <c r="K219" i="1" s="1"/>
  <c r="J253" i="1"/>
  <c r="E59" i="1"/>
  <c r="I275" i="1"/>
  <c r="I362" i="1"/>
  <c r="I379" i="1" s="1"/>
  <c r="J156" i="1"/>
  <c r="K147" i="1"/>
  <c r="D59" i="1"/>
  <c r="L253" i="1"/>
  <c r="AD253" i="1" s="1"/>
  <c r="K253" i="1"/>
  <c r="I433" i="1"/>
  <c r="P241" i="1"/>
  <c r="H310" i="1"/>
  <c r="H332" i="1"/>
  <c r="H351" i="1" s="1"/>
  <c r="N109" i="1"/>
  <c r="J257" i="1"/>
  <c r="J256" i="1"/>
  <c r="L205" i="1"/>
  <c r="J234" i="1"/>
  <c r="J235" i="1" s="1"/>
  <c r="J206" i="1" s="1"/>
  <c r="J219" i="1" s="1"/>
  <c r="H440" i="1"/>
  <c r="H445" i="1"/>
  <c r="H444" i="1"/>
  <c r="L279" i="1"/>
  <c r="N108" i="1"/>
  <c r="K256" i="1"/>
  <c r="K257" i="1"/>
  <c r="L256" i="1"/>
  <c r="I292" i="1" l="1"/>
  <c r="H492" i="1"/>
  <c r="H311" i="1"/>
  <c r="I279" i="1"/>
  <c r="H493" i="1"/>
  <c r="H313" i="1"/>
  <c r="I278" i="1"/>
  <c r="K318" i="1"/>
  <c r="K319" i="1" s="1"/>
  <c r="H442" i="1"/>
  <c r="D60" i="1"/>
  <c r="L489" i="1"/>
  <c r="L490" i="1"/>
  <c r="L312" i="1"/>
  <c r="L234" i="1"/>
  <c r="L235" i="1" s="1"/>
  <c r="L206" i="1" s="1"/>
  <c r="L219" i="1" s="1"/>
  <c r="H407" i="1"/>
  <c r="K358" i="1"/>
  <c r="K425" i="1"/>
  <c r="K434" i="1" s="1"/>
  <c r="J158" i="1"/>
  <c r="J159" i="1"/>
  <c r="J177" i="1"/>
  <c r="J184" i="1" s="1"/>
  <c r="J185" i="1"/>
  <c r="J167" i="1"/>
  <c r="K178" i="1"/>
  <c r="K495" i="1"/>
  <c r="K496" i="1"/>
  <c r="K265" i="1"/>
  <c r="K159" i="1"/>
  <c r="J425" i="1"/>
  <c r="J434" i="1" s="1"/>
  <c r="J358" i="1"/>
  <c r="I435" i="1"/>
  <c r="I439" i="1"/>
  <c r="W242" i="1"/>
  <c r="D5" i="1"/>
  <c r="C5" i="1"/>
  <c r="C8" i="1" s="1"/>
  <c r="C10" i="1" s="1"/>
  <c r="D14" i="1" s="1"/>
  <c r="Q241" i="1"/>
  <c r="L187" i="1"/>
  <c r="I295" i="1" l="1"/>
  <c r="I309" i="1" s="1"/>
  <c r="I489" i="1"/>
  <c r="I393" i="1"/>
  <c r="L292" i="1"/>
  <c r="K292" i="1"/>
  <c r="K187" i="1"/>
  <c r="I490" i="1"/>
  <c r="I312" i="1"/>
  <c r="R241" i="1"/>
  <c r="X242" i="1"/>
  <c r="B5" i="1"/>
  <c r="I444" i="1"/>
  <c r="I445" i="1"/>
  <c r="I440" i="1"/>
  <c r="K279" i="1"/>
  <c r="N159" i="1"/>
  <c r="L313" i="1"/>
  <c r="L492" i="1"/>
  <c r="L493" i="1"/>
  <c r="J275" i="1"/>
  <c r="J362" i="1"/>
  <c r="J379" i="1" s="1"/>
  <c r="J178" i="1"/>
  <c r="J496" i="1"/>
  <c r="J495" i="1"/>
  <c r="J265" i="1"/>
  <c r="K433" i="1"/>
  <c r="L358" i="1"/>
  <c r="L425" i="1"/>
  <c r="L434" i="1" s="1"/>
  <c r="J433" i="1"/>
  <c r="J187" i="1"/>
  <c r="K275" i="1"/>
  <c r="K278" i="1" s="1"/>
  <c r="K362" i="1"/>
  <c r="K379" i="1" s="1"/>
  <c r="I397" i="1" l="1"/>
  <c r="I406" i="1" s="1"/>
  <c r="J292" i="1"/>
  <c r="N187" i="1"/>
  <c r="I493" i="1"/>
  <c r="I313" i="1"/>
  <c r="I492" i="1"/>
  <c r="L275" i="1"/>
  <c r="L278" i="1" s="1"/>
  <c r="L362" i="1"/>
  <c r="L379" i="1" s="1"/>
  <c r="J278" i="1"/>
  <c r="J279" i="1"/>
  <c r="I442" i="1"/>
  <c r="Y242" i="1"/>
  <c r="S241" i="1"/>
  <c r="J435" i="1"/>
  <c r="K439" i="1"/>
  <c r="J439" i="1"/>
  <c r="K435" i="1"/>
  <c r="L433" i="1"/>
  <c r="L435" i="1"/>
  <c r="K490" i="1"/>
  <c r="K489" i="1"/>
  <c r="K312" i="1"/>
  <c r="O21" i="1"/>
  <c r="P21" i="1" s="1"/>
  <c r="Q21" i="1" s="1"/>
  <c r="J393" i="1" l="1"/>
  <c r="K393" i="1" s="1"/>
  <c r="L393" i="1" s="1"/>
  <c r="I403" i="1"/>
  <c r="I404" i="1" s="1"/>
  <c r="I325" i="1"/>
  <c r="I437" i="1"/>
  <c r="Z242" i="1"/>
  <c r="J489" i="1"/>
  <c r="J312" i="1"/>
  <c r="J490" i="1"/>
  <c r="L439" i="1"/>
  <c r="K440" i="1"/>
  <c r="K444" i="1"/>
  <c r="K445" i="1"/>
  <c r="J440" i="1"/>
  <c r="J445" i="1"/>
  <c r="J444" i="1"/>
  <c r="L440" i="1"/>
  <c r="L444" i="1"/>
  <c r="L445" i="1"/>
  <c r="T241" i="1"/>
  <c r="K313" i="1"/>
  <c r="K492" i="1"/>
  <c r="K493" i="1"/>
  <c r="I310" i="1" l="1"/>
  <c r="I311" i="1" s="1"/>
  <c r="I332" i="1"/>
  <c r="I351" i="1" s="1"/>
  <c r="I438" i="1" s="1"/>
  <c r="K442" i="1"/>
  <c r="J442" i="1"/>
  <c r="U241" i="1"/>
  <c r="L442" i="1"/>
  <c r="J313" i="1"/>
  <c r="M313" i="1" s="1"/>
  <c r="J492" i="1"/>
  <c r="J493" i="1"/>
  <c r="I407" i="1" l="1"/>
  <c r="V241" i="1"/>
  <c r="W241" i="1" l="1"/>
  <c r="X241" i="1" l="1"/>
  <c r="Y241" i="1" l="1"/>
  <c r="Z241" i="1" l="1"/>
  <c r="AA241" i="1" l="1"/>
  <c r="AA250" i="1" l="1"/>
  <c r="AB250" i="1" s="1"/>
  <c r="M250" i="1" s="1"/>
  <c r="AA255" i="1" l="1"/>
  <c r="AA257" i="1" s="1"/>
  <c r="M251" i="1"/>
  <c r="M253" i="1" s="1"/>
  <c r="N250" i="1"/>
  <c r="M255" i="1"/>
  <c r="AB255" i="1" l="1"/>
  <c r="AB257" i="1" s="1"/>
  <c r="D7" i="1" s="1"/>
  <c r="B7" i="1" s="1"/>
  <c r="AA259" i="1"/>
  <c r="B60" i="1" s="1"/>
  <c r="M256" i="1"/>
  <c r="M257" i="1"/>
  <c r="N251" i="1"/>
  <c r="N253" i="1" s="1"/>
  <c r="O250" i="1"/>
  <c r="N255" i="1"/>
  <c r="O23" i="1" l="1"/>
  <c r="P23" i="1" s="1"/>
  <c r="Q23" i="1" s="1"/>
  <c r="O251" i="1"/>
  <c r="O253" i="1" s="1"/>
  <c r="P250" i="1"/>
  <c r="O255" i="1"/>
  <c r="N257" i="1"/>
  <c r="N256" i="1"/>
  <c r="O257" i="1" l="1"/>
  <c r="O256" i="1"/>
  <c r="Q250" i="1"/>
  <c r="P251" i="1"/>
  <c r="P253" i="1" s="1"/>
  <c r="P255" i="1"/>
  <c r="Q251" i="1" l="1"/>
  <c r="Q253" i="1" s="1"/>
  <c r="R250" i="1"/>
  <c r="Q255" i="1"/>
  <c r="P257" i="1"/>
  <c r="P256" i="1"/>
  <c r="Q256" i="1" l="1"/>
  <c r="Q257" i="1"/>
  <c r="R251" i="1"/>
  <c r="R253" i="1" s="1"/>
  <c r="S250" i="1"/>
  <c r="R255" i="1"/>
  <c r="T250" i="1" l="1"/>
  <c r="S251" i="1"/>
  <c r="S253" i="1" s="1"/>
  <c r="S255" i="1"/>
  <c r="R257" i="1"/>
  <c r="R256" i="1"/>
  <c r="S256" i="1" l="1"/>
  <c r="S257" i="1"/>
  <c r="T251" i="1"/>
  <c r="T253" i="1" s="1"/>
  <c r="U250" i="1"/>
  <c r="T255" i="1"/>
  <c r="U251" i="1" l="1"/>
  <c r="U253" i="1" s="1"/>
  <c r="V250" i="1"/>
  <c r="U255" i="1"/>
  <c r="T256" i="1"/>
  <c r="T257" i="1"/>
  <c r="V251" i="1" l="1"/>
  <c r="V253" i="1" s="1"/>
  <c r="W250" i="1"/>
  <c r="V255" i="1"/>
  <c r="U256" i="1"/>
  <c r="U257" i="1"/>
  <c r="X250" i="1" l="1"/>
  <c r="W251" i="1"/>
  <c r="W253" i="1" s="1"/>
  <c r="W255" i="1"/>
  <c r="V257" i="1"/>
  <c r="V256" i="1"/>
  <c r="W257" i="1" l="1"/>
  <c r="W256" i="1"/>
  <c r="Y250" i="1"/>
  <c r="X251" i="1"/>
  <c r="X253" i="1" s="1"/>
  <c r="X255" i="1"/>
  <c r="Y251" i="1" l="1"/>
  <c r="Y253" i="1" s="1"/>
  <c r="Z250" i="1"/>
  <c r="Y255" i="1"/>
  <c r="X257" i="1"/>
  <c r="X256" i="1"/>
  <c r="Z251" i="1" l="1"/>
  <c r="Z253" i="1" s="1"/>
  <c r="Z255" i="1"/>
  <c r="Y257" i="1"/>
  <c r="Y256" i="1"/>
  <c r="Z257" i="1" l="1"/>
  <c r="Z256" i="1"/>
  <c r="AA256" i="1"/>
  <c r="AD257" i="1" l="1"/>
  <c r="D6" i="1"/>
  <c r="B6" i="1" l="1"/>
  <c r="D8" i="1"/>
  <c r="D10" i="1" l="1"/>
  <c r="B8" i="1"/>
  <c r="O22" i="1"/>
  <c r="P22" i="1" s="1"/>
  <c r="Q22" i="1" s="1"/>
  <c r="O28" i="1" l="1"/>
  <c r="B10" i="1"/>
  <c r="O29" i="1" l="1"/>
  <c r="P28" i="1"/>
  <c r="R23" i="1"/>
  <c r="O31" i="1"/>
  <c r="P31" i="1" s="1"/>
  <c r="B14" i="1"/>
  <c r="K295" i="1" l="1"/>
  <c r="K309" i="1" s="1"/>
  <c r="L295" i="1"/>
  <c r="L309" i="1" s="1"/>
  <c r="B15" i="1"/>
  <c r="O32" i="1"/>
  <c r="P32" i="1" s="1"/>
  <c r="B16" i="1"/>
  <c r="F12" i="1"/>
  <c r="J392" i="1"/>
  <c r="P29" i="1"/>
  <c r="Q28" i="1"/>
  <c r="Q29" i="1" s="1"/>
  <c r="S25" i="1" s="1"/>
  <c r="K392" i="1" l="1"/>
  <c r="L392" i="1" s="1"/>
  <c r="J295" i="1"/>
  <c r="J309" i="1" s="1"/>
  <c r="J394" i="1"/>
  <c r="C15" i="1"/>
  <c r="F11" i="1" s="1"/>
  <c r="O33" i="1"/>
  <c r="P33" i="1" s="1"/>
  <c r="C16" i="1"/>
  <c r="F13" i="1" s="1"/>
  <c r="O34" i="1"/>
  <c r="P34" i="1" s="1"/>
  <c r="E16" i="1" l="1"/>
  <c r="E15" i="1"/>
  <c r="K394" i="1"/>
  <c r="J397" i="1"/>
  <c r="L394" i="1" l="1"/>
  <c r="L397" i="1" s="1"/>
  <c r="K397" i="1"/>
  <c r="K437" i="1" s="1"/>
  <c r="J406" i="1"/>
  <c r="J403" i="1"/>
  <c r="J404" i="1" s="1"/>
  <c r="J325" i="1"/>
  <c r="J437" i="1"/>
  <c r="J310" i="1" l="1"/>
  <c r="J311" i="1" s="1"/>
  <c r="J332" i="1"/>
  <c r="J351" i="1" s="1"/>
  <c r="K406" i="1"/>
  <c r="K325" i="1"/>
  <c r="K403" i="1"/>
  <c r="K404" i="1" s="1"/>
  <c r="L437" i="1"/>
  <c r="L406" i="1"/>
  <c r="L325" i="1"/>
  <c r="D34" i="1" s="1"/>
  <c r="L403" i="1"/>
  <c r="L404" i="1" l="1"/>
  <c r="L332" i="1"/>
  <c r="L351" i="1" s="1"/>
  <c r="L407" i="1" s="1"/>
  <c r="L310" i="1"/>
  <c r="L311" i="1" s="1"/>
  <c r="J407" i="1"/>
  <c r="J438" i="1"/>
  <c r="K310" i="1"/>
  <c r="K311" i="1" s="1"/>
  <c r="K332" i="1"/>
  <c r="K351" i="1" s="1"/>
  <c r="K407" i="1" l="1"/>
  <c r="L438" i="1"/>
  <c r="K438" i="1"/>
</calcChain>
</file>

<file path=xl/comments1.xml><?xml version="1.0" encoding="utf-8"?>
<comments xmlns="http://schemas.openxmlformats.org/spreadsheetml/2006/main">
  <authors>
    <author>Libis</author>
  </authors>
  <commentList>
    <comment ref="B23" authorId="0">
      <text>
        <r>
          <rPr>
            <sz val="9"/>
            <color indexed="81"/>
            <rFont val="Tahoma"/>
            <family val="2"/>
          </rPr>
          <t>Used in calculating financial leverage</t>
        </r>
      </text>
    </comment>
  </commentList>
</comments>
</file>

<file path=xl/sharedStrings.xml><?xml version="1.0" encoding="utf-8"?>
<sst xmlns="http://schemas.openxmlformats.org/spreadsheetml/2006/main" count="571" uniqueCount="455">
  <si>
    <t>Total Revenue</t>
  </si>
  <si>
    <t>Cost of Goods Sold, % of Total Revenue</t>
  </si>
  <si>
    <t>Selling, General &amp; Adminstrative Expenses, % of Total Revenue</t>
  </si>
  <si>
    <t xml:space="preserve">Fiscal Year </t>
  </si>
  <si>
    <t>Year 1</t>
  </si>
  <si>
    <t>Year 2</t>
  </si>
  <si>
    <t>Year 3</t>
  </si>
  <si>
    <t>Year 4</t>
  </si>
  <si>
    <t>Year 5</t>
  </si>
  <si>
    <t>5-year Projected Average</t>
  </si>
  <si>
    <t>Total Debt</t>
  </si>
  <si>
    <t>Capital Expenditures</t>
  </si>
  <si>
    <t>Inventory</t>
  </si>
  <si>
    <t>Accounts Receivable</t>
  </si>
  <si>
    <t>Accounts Payable</t>
  </si>
  <si>
    <t>Capital Expenditures, YoY % Growth</t>
  </si>
  <si>
    <t>Capital Expenditures, % of Total Revenue</t>
  </si>
  <si>
    <t>Depreciation, % of Total Revenue</t>
  </si>
  <si>
    <t>Depreciation &amp; Amortization -- already included in operating expenses above</t>
  </si>
  <si>
    <t>Depreciation &amp; Amortization, % of Total Revenue</t>
  </si>
  <si>
    <t>Change in Working Capital</t>
  </si>
  <si>
    <t>Working Capital, % of Total Revenue</t>
  </si>
  <si>
    <t>No Input</t>
  </si>
  <si>
    <t>Pre-tax Income</t>
  </si>
  <si>
    <t>Net Income</t>
  </si>
  <si>
    <t>End of Year Shares Outstanding</t>
  </si>
  <si>
    <t>Diluted Earnings per Share, YoY % Growth</t>
  </si>
  <si>
    <t>Depreciation, YoY % Growth</t>
  </si>
  <si>
    <t>Total Cash (including marketable securities)</t>
  </si>
  <si>
    <t>EBITDA</t>
  </si>
  <si>
    <t>EBITDA, YoY % Growth</t>
  </si>
  <si>
    <t>Free Cash Flow to the Firm (enterprise cash flow), FCFF</t>
  </si>
  <si>
    <t xml:space="preserve"> - Change in Working Capital</t>
  </si>
  <si>
    <t xml:space="preserve"> - Capital Expenditures</t>
  </si>
  <si>
    <t>Free Cash Flow to the Firm, YoY % Growth</t>
  </si>
  <si>
    <t>3-year Historical Average</t>
  </si>
  <si>
    <t>Last Year Number</t>
  </si>
  <si>
    <t>Shares Outstanding, used in valuation</t>
  </si>
  <si>
    <t>Total Cash &amp; Marketable Securities, used in valuation</t>
  </si>
  <si>
    <t>General</t>
  </si>
  <si>
    <t>Years 1 - 5</t>
  </si>
  <si>
    <t>Years 6 - 20</t>
  </si>
  <si>
    <t>Year 5 number</t>
  </si>
  <si>
    <t>Last Year %</t>
  </si>
  <si>
    <t>Year 5 %</t>
  </si>
  <si>
    <t>Capital Expenditures/Depreciation</t>
  </si>
  <si>
    <t>Net New Investment</t>
  </si>
  <si>
    <t>Investment Rate %</t>
  </si>
  <si>
    <t>Perpetuity</t>
  </si>
  <si>
    <t>Value of Preferred Stock, used in valuation</t>
  </si>
  <si>
    <t>Working Capital, % of Total Revenue, year 1</t>
  </si>
  <si>
    <t>Estimated Value of Debt</t>
  </si>
  <si>
    <t>Estimated Value of Equity</t>
  </si>
  <si>
    <t>Estimated Value of Preferred</t>
  </si>
  <si>
    <t>Cost of Equity</t>
  </si>
  <si>
    <t>Cost of Debt</t>
  </si>
  <si>
    <t>After-tax Cost of Debt</t>
  </si>
  <si>
    <t>Weight of Equity</t>
  </si>
  <si>
    <t>Cost of Preferred</t>
  </si>
  <si>
    <t>Preferred Dividends</t>
  </si>
  <si>
    <t>Preferred Stock</t>
  </si>
  <si>
    <t>Cash Flow from Operations</t>
  </si>
  <si>
    <t>Free Cash Flow</t>
  </si>
  <si>
    <t>Total Debt/EBITDA</t>
  </si>
  <si>
    <t>Total Debt/EBITDA trend</t>
  </si>
  <si>
    <t>Shareholders' Equity</t>
  </si>
  <si>
    <t>Total Assets</t>
  </si>
  <si>
    <t>Return on Equity</t>
  </si>
  <si>
    <t>Synthetic Credit Spread</t>
  </si>
  <si>
    <t>Return on New Invested Capital %</t>
  </si>
  <si>
    <t>Historical Standard Deviation, FCFF</t>
  </si>
  <si>
    <t>Range of Fair Value Outcomes</t>
  </si>
  <si>
    <t>Equity Risk Premium</t>
  </si>
  <si>
    <t>Total Enterprise Value</t>
  </si>
  <si>
    <t>Weight of Debt</t>
  </si>
  <si>
    <t>Weight of Preferred</t>
  </si>
  <si>
    <t>Weighted Average Cost of Capital</t>
  </si>
  <si>
    <t>Phase I Present Value</t>
  </si>
  <si>
    <t>Discounted Free Cash Flow to the Firm (enterprise cash flow), FCFF</t>
  </si>
  <si>
    <t>Phase II Present Value</t>
  </si>
  <si>
    <t>Phase III Present Value</t>
  </si>
  <si>
    <t>Total Firm Value</t>
  </si>
  <si>
    <t>Net Balance Sheet Impact</t>
  </si>
  <si>
    <t>Total Equity Value</t>
  </si>
  <si>
    <t>Fair Value</t>
  </si>
  <si>
    <t>Upside</t>
  </si>
  <si>
    <t>Downside</t>
  </si>
  <si>
    <t>Equity Risk Premium - multiplier (fundamental beta)</t>
  </si>
  <si>
    <t>Synthetic Credit Rating</t>
  </si>
  <si>
    <t>Minority Interest</t>
  </si>
  <si>
    <t>Prepaid Expenses</t>
  </si>
  <si>
    <t>Total Current Assets</t>
  </si>
  <si>
    <t>Goodwill, Net</t>
  </si>
  <si>
    <t>Intangibles, Net</t>
  </si>
  <si>
    <t>Accrued Expenses</t>
  </si>
  <si>
    <t>Total Current Liabilities</t>
  </si>
  <si>
    <t>Total Liabilities</t>
  </si>
  <si>
    <t>Changes in Working Capital</t>
  </si>
  <si>
    <t>Cash from Financing Activities</t>
  </si>
  <si>
    <t>Gross Margin</t>
  </si>
  <si>
    <t>Gross Margin %</t>
  </si>
  <si>
    <t>Other Non-operating Income</t>
  </si>
  <si>
    <t>Total Expenses, ex unusual items</t>
  </si>
  <si>
    <t>Operating Income (EBIT) Margin, ex unusual items, % of Total Revenue</t>
  </si>
  <si>
    <t>Operating Income (EBIT), ex unusual items, YoY % Growth</t>
  </si>
  <si>
    <t>Effective Tax Rate</t>
  </si>
  <si>
    <t>Cash Taxes</t>
  </si>
  <si>
    <t>Cash Tax Rate</t>
  </si>
  <si>
    <t>Cash Tax Rate -- estimate</t>
  </si>
  <si>
    <t>Operating Income, including unusual items</t>
  </si>
  <si>
    <t>Unusual items</t>
  </si>
  <si>
    <t xml:space="preserve">     Check</t>
  </si>
  <si>
    <t>Income after tax</t>
  </si>
  <si>
    <t xml:space="preserve">     Check </t>
  </si>
  <si>
    <t xml:space="preserve">Working Capital </t>
  </si>
  <si>
    <t>Current Assets - Current Liabilities</t>
  </si>
  <si>
    <t>Change in (Current Assets - Current Liabilities)</t>
  </si>
  <si>
    <t>Return on Assets</t>
  </si>
  <si>
    <t>Stock Price</t>
  </si>
  <si>
    <t>Other Current Assets</t>
  </si>
  <si>
    <t>Other Current Liabilities</t>
  </si>
  <si>
    <t>Historical Standard Deviation, Revenue</t>
  </si>
  <si>
    <t>Historical Standard Deviation, Gross Margin</t>
  </si>
  <si>
    <t>Historical Standard Deviation of Revenue/Revenue, yr 0</t>
  </si>
  <si>
    <t>Historical Standard Deviation of Gross Margin/Gross Margin yr 0</t>
  </si>
  <si>
    <t>Historical Standard Deviation, EBI</t>
  </si>
  <si>
    <t>Historical Standard Deviation, EBI/EBI, yr 0</t>
  </si>
  <si>
    <t>Historical Standard Deviation, FCFF/FCFF, yr 0</t>
  </si>
  <si>
    <t>Weighted Average Diluted Shares Outstanding, YoY% Growth</t>
  </si>
  <si>
    <t>Net Property Plant &amp; Equipment</t>
  </si>
  <si>
    <t>Invested Capital, with goodwill</t>
  </si>
  <si>
    <t>Invested Capital, without goodwill</t>
  </si>
  <si>
    <t>Return on Invested Capital, with goodwill</t>
  </si>
  <si>
    <t>Return on Invested Capital, without goodwill</t>
  </si>
  <si>
    <t>ROIC - WACC</t>
  </si>
  <si>
    <t>3yr. Average Return on Invested Capital, without goodwill</t>
  </si>
  <si>
    <t>Cash Interest</t>
  </si>
  <si>
    <t>Return on Invested Capital, without goodwill Trend</t>
  </si>
  <si>
    <t>Average Total Revenue Growth, 5yr</t>
  </si>
  <si>
    <t>ValueRisk™</t>
  </si>
  <si>
    <t>ValueCreation™</t>
  </si>
  <si>
    <t>"Beta"</t>
  </si>
  <si>
    <t>EBITDA Margin %</t>
  </si>
  <si>
    <t>Free Cash Flow Margin %</t>
  </si>
  <si>
    <t>Financial Leverage</t>
  </si>
  <si>
    <t>Debt/Equity</t>
  </si>
  <si>
    <t>Cash from Operations</t>
  </si>
  <si>
    <t>EXCELLENT</t>
  </si>
  <si>
    <t>GOOD</t>
  </si>
  <si>
    <t>NEUTRAL</t>
  </si>
  <si>
    <t>POOR</t>
  </si>
  <si>
    <t>VERY POOR</t>
  </si>
  <si>
    <t>VERY HIGH</t>
  </si>
  <si>
    <t>HIGH</t>
  </si>
  <si>
    <t>MEDIUM</t>
  </si>
  <si>
    <t>LOW</t>
  </si>
  <si>
    <t>Momentum Factor</t>
  </si>
  <si>
    <t>Selling, General &amp; Adminstrative Expenses, Growth</t>
  </si>
  <si>
    <t>Average Selling, General, and Adminstrative Growth, 5yr</t>
  </si>
  <si>
    <t>Q</t>
  </si>
  <si>
    <t>Y</t>
  </si>
  <si>
    <t>Date</t>
  </si>
  <si>
    <t xml:space="preserve">Risk Free Rate, LT 10-year Treasury </t>
  </si>
  <si>
    <t>Long-horizon equity risk premium (%), 1926-2008</t>
  </si>
  <si>
    <t>Inflation</t>
  </si>
  <si>
    <t>, geometric mean; 1926-2008, CRSP (University of Chicago)</t>
  </si>
  <si>
    <t>, range</t>
  </si>
  <si>
    <t>FFO</t>
  </si>
  <si>
    <t>FFO/Debt</t>
  </si>
  <si>
    <t>FOCF</t>
  </si>
  <si>
    <t>FOCF/Debt</t>
  </si>
  <si>
    <t>from CorporateBondSpreads tab</t>
  </si>
  <si>
    <t>Book Value per share</t>
  </si>
  <si>
    <t>Book Value per share YoY % Growth</t>
  </si>
  <si>
    <t>Lower financial leverage indicates lower bankruptcy risk</t>
  </si>
  <si>
    <t>In Millions of EUR (except for per share items)</t>
  </si>
  <si>
    <t>Adjusted Taxes</t>
  </si>
  <si>
    <t>Earnings before interest, after taxes (EBI) YoY % Growth</t>
  </si>
  <si>
    <t>Current Assets, less cash</t>
  </si>
  <si>
    <t>Current Liabilities, less short-term debt</t>
  </si>
  <si>
    <t>Current Assets, less cash - Current Liabilities, less short-term debt</t>
  </si>
  <si>
    <t>Net Working Capital</t>
  </si>
  <si>
    <t>Other Operating Expenses (including R&amp;D), ex unusual items, % of Total Revenue</t>
  </si>
  <si>
    <t>Earnings before interest, after taxes (NOPLAT)</t>
  </si>
  <si>
    <t>Equity</t>
  </si>
  <si>
    <t>Debt</t>
  </si>
  <si>
    <t>Preferred</t>
  </si>
  <si>
    <t>Yr 1-5</t>
  </si>
  <si>
    <t>Equity Value</t>
  </si>
  <si>
    <t>Yr 6-20</t>
  </si>
  <si>
    <t>CAGR</t>
  </si>
  <si>
    <t>rev's</t>
  </si>
  <si>
    <t>net income</t>
  </si>
  <si>
    <t>INCOME STATEMENT</t>
  </si>
  <si>
    <t>INVESTMENT</t>
  </si>
  <si>
    <t>SUMMARY</t>
  </si>
  <si>
    <t>% stock price is away from Upside</t>
  </si>
  <si>
    <t>% stock price is away from Downside</t>
  </si>
  <si>
    <t>ASSUMPTIONS</t>
  </si>
  <si>
    <t>FORECASTS</t>
  </si>
  <si>
    <t>3-year Historical Average/CAGR</t>
  </si>
  <si>
    <t>5-year Projected Average/CAGR</t>
  </si>
  <si>
    <t>ENTERPRISE CASH FLOW</t>
  </si>
  <si>
    <t>CASH FLOW STATEMENT</t>
  </si>
  <si>
    <t>BALANCE SHEET</t>
  </si>
  <si>
    <t>RETURN ON INVESTED CAPITAL</t>
  </si>
  <si>
    <t>CREDIT SPREAD ANALYSIS</t>
  </si>
  <si>
    <t>COST OF EQUITY</t>
  </si>
  <si>
    <t>Assets</t>
  </si>
  <si>
    <t>Long-term Investments</t>
  </si>
  <si>
    <t>Other Long-term Assets</t>
  </si>
  <si>
    <t xml:space="preserve">     Total Current Assets</t>
  </si>
  <si>
    <t xml:space="preserve">   Net Property, Plant, and Equipment</t>
  </si>
  <si>
    <t xml:space="preserve">    Check</t>
  </si>
  <si>
    <t>Other</t>
  </si>
  <si>
    <t>Liabilities</t>
  </si>
  <si>
    <t>Current Portion LT Debt/Capital Leases</t>
  </si>
  <si>
    <t>Notes Payable/Short-term Debt</t>
  </si>
  <si>
    <t>Total Long-term Debt</t>
  </si>
  <si>
    <t>Deferred Income Taxes</t>
  </si>
  <si>
    <t>Total Shareholders' Equity</t>
  </si>
  <si>
    <t xml:space="preserve">   Check</t>
  </si>
  <si>
    <t>Depreciation and Amortization</t>
  </si>
  <si>
    <t>Net Income before extraordinary items</t>
  </si>
  <si>
    <t>Net Income Margin bef extraordinary items, % of Total Revenue</t>
  </si>
  <si>
    <t>Net Income before extraordinary items, YoY % Growth</t>
  </si>
  <si>
    <t>Net Change in Cash (from balance sheet)</t>
  </si>
  <si>
    <t>Net Change in Cash (from cash flow statement)</t>
  </si>
  <si>
    <t xml:space="preserve">     Inventory Holding Period</t>
  </si>
  <si>
    <t xml:space="preserve">     Receivables Collection Period</t>
  </si>
  <si>
    <t xml:space="preserve">          Check</t>
  </si>
  <si>
    <t>Should equal 0 ---&gt;</t>
  </si>
  <si>
    <t>Net PPE Growth</t>
  </si>
  <si>
    <t>Total Liabilities and Shareholders Equity</t>
  </si>
  <si>
    <t>Working Capital, ex other items</t>
  </si>
  <si>
    <t>Net Allocation to other current assets</t>
  </si>
  <si>
    <t>Working Capital (check)</t>
  </si>
  <si>
    <t>Invested Capital (check)</t>
  </si>
  <si>
    <t>Research &amp; Development or other</t>
  </si>
  <si>
    <t>Total Other Operating Expenses (including R&amp;D), ex unusual items</t>
  </si>
  <si>
    <t>EBI upside</t>
  </si>
  <si>
    <t>EBI downside</t>
  </si>
  <si>
    <t>ROIC w/out goodwill - UPSIDE</t>
  </si>
  <si>
    <t>ROIC w/ goodwill - DOWNSIDE</t>
  </si>
  <si>
    <t>Revenue Upside</t>
  </si>
  <si>
    <t>Revenue Downside</t>
  </si>
  <si>
    <t>Gross Margin Upside</t>
  </si>
  <si>
    <t>Gross Margin Downside</t>
  </si>
  <si>
    <t>CFO stdev analysis</t>
  </si>
  <si>
    <t>FCF stdev analysis</t>
  </si>
  <si>
    <t>CFO upside</t>
  </si>
  <si>
    <t>CFO downside</t>
  </si>
  <si>
    <t>FCF upside</t>
  </si>
  <si>
    <t>FCF downside</t>
  </si>
  <si>
    <t>Interest Expense</t>
  </si>
  <si>
    <t>Diluted Earnings per Share, ex items</t>
  </si>
  <si>
    <t>Diluted Earnings per Share, inc. items</t>
  </si>
  <si>
    <t xml:space="preserve">Net Deferred Taxes </t>
  </si>
  <si>
    <t>EBIT/Interest</t>
  </si>
  <si>
    <t>EBITDA/Interest</t>
  </si>
  <si>
    <t>Debt/(Debt+Equity)</t>
  </si>
  <si>
    <t>Total Revenue (consensus)</t>
  </si>
  <si>
    <t>Pre-tax Net Income allocation</t>
  </si>
  <si>
    <t>Pre-tax Net Income allocation % of sales</t>
  </si>
  <si>
    <t xml:space="preserve">     % point allocation to COGS</t>
  </si>
  <si>
    <t xml:space="preserve">     % point allocation to SG&amp;A</t>
  </si>
  <si>
    <t>Diluted EPS (consensus)</t>
  </si>
  <si>
    <t>Alt. Model</t>
  </si>
  <si>
    <t>Primary</t>
  </si>
  <si>
    <t>Average Capital Expenditure , YoY % Growth</t>
  </si>
  <si>
    <t>Gross PPE/Depreciation</t>
  </si>
  <si>
    <t xml:space="preserve">     % point allocation tototal other operating expense</t>
  </si>
  <si>
    <t>Beginning Phase II -- Earnings before interest, after taxes YoY% Growth</t>
  </si>
  <si>
    <t>End of Phase I Investment Rate %</t>
  </si>
  <si>
    <t>End of Phase I Return on New Invested Capital</t>
  </si>
  <si>
    <t>---&gt;</t>
  </si>
  <si>
    <t>Upside EBITDA</t>
  </si>
  <si>
    <t>Dowside EBITDA</t>
  </si>
  <si>
    <t>EBITDA stdev analysis</t>
  </si>
  <si>
    <t>Net Income stdev analysis</t>
  </si>
  <si>
    <t>Net Income upside</t>
  </si>
  <si>
    <t>Net Income downside</t>
  </si>
  <si>
    <t>Free Cash Flow to the Firm YoY % Growth, CAGR</t>
  </si>
  <si>
    <t xml:space="preserve"> - Acquisitions</t>
  </si>
  <si>
    <t>N/A</t>
  </si>
  <si>
    <t>+ Noncash Operating Items -- included in EBI (not net new investment)</t>
  </si>
  <si>
    <t>+ Depreciation</t>
  </si>
  <si>
    <t>Exchange rates</t>
  </si>
  <si>
    <t>USD/EUR</t>
  </si>
  <si>
    <t>USD/INR</t>
  </si>
  <si>
    <t>USD/MXN</t>
  </si>
  <si>
    <t>USD/CLP</t>
  </si>
  <si>
    <t>USD/CNY</t>
  </si>
  <si>
    <t>USD/JPY</t>
  </si>
  <si>
    <t>USD/KRW</t>
  </si>
  <si>
    <t>USD/BRL</t>
  </si>
  <si>
    <t>USD/CAD</t>
  </si>
  <si>
    <t>USD/TWD</t>
  </si>
  <si>
    <t>USD/GBP</t>
  </si>
  <si>
    <t>ADR conversion rate</t>
  </si>
  <si>
    <t>Total Debt, used in valuation (includes pension underfundednes, where applicable)</t>
  </si>
  <si>
    <t>Fin sub debt adj</t>
  </si>
  <si>
    <t>Pension and Fin Sub adjustment</t>
  </si>
  <si>
    <t>Rev</t>
  </si>
  <si>
    <t>EPS</t>
  </si>
  <si>
    <t>Net Income (adjusted consensus)</t>
  </si>
  <si>
    <t>Total Revenue, YoY%, includes industry adjustment</t>
  </si>
  <si>
    <t>Adjustment</t>
  </si>
  <si>
    <t>ANNUAL PERIOD ENDING</t>
  </si>
  <si>
    <t>Operating Revenue</t>
  </si>
  <si>
    <t>Cost Of Sales</t>
  </si>
  <si>
    <t>Cost Of Sales With Depreciation</t>
  </si>
  <si>
    <t>Gross Operating Profit</t>
  </si>
  <si>
    <t>Selling General And Administrative Expenses</t>
  </si>
  <si>
    <t>Operating Income Before Depreciation</t>
  </si>
  <si>
    <t>Depreciation</t>
  </si>
  <si>
    <t>Operating Income After Depreciation</t>
  </si>
  <si>
    <t>Interest Income</t>
  </si>
  <si>
    <t>Net Other Income</t>
  </si>
  <si>
    <t>Total Income Available For Interest Expense</t>
  </si>
  <si>
    <t>Pre Tax Income</t>
  </si>
  <si>
    <t>Income Taxes</t>
  </si>
  <si>
    <t>Net Income From Continuing Operations</t>
  </si>
  <si>
    <t>Net Income From Total Operations</t>
  </si>
  <si>
    <t>Total Net Income</t>
  </si>
  <si>
    <t>Cash And Equivalents</t>
  </si>
  <si>
    <t>Marketable Securities</t>
  </si>
  <si>
    <t>Receivables</t>
  </si>
  <si>
    <t>Raw Materials</t>
  </si>
  <si>
    <t>Work In Progress</t>
  </si>
  <si>
    <t>Finished Goods</t>
  </si>
  <si>
    <t>Inventories</t>
  </si>
  <si>
    <t>Current Deferred Income Taxes</t>
  </si>
  <si>
    <t>Land And Improvements</t>
  </si>
  <si>
    <t>Building And Improvements</t>
  </si>
  <si>
    <t>Machinery Furniture And Equipment</t>
  </si>
  <si>
    <t>Total Fixed Assets</t>
  </si>
  <si>
    <t>Gross Fixed Assets</t>
  </si>
  <si>
    <t>Accumulated Depreciation And Depletion</t>
  </si>
  <si>
    <t>Net Fixed Assets</t>
  </si>
  <si>
    <t>Intangibles</t>
  </si>
  <si>
    <t>Cost In Excess</t>
  </si>
  <si>
    <t>Non Current Deferred Income Taxes</t>
  </si>
  <si>
    <t>Other Non Current Assets</t>
  </si>
  <si>
    <t>Total Non Current Assets</t>
  </si>
  <si>
    <t>Short Term Debt</t>
  </si>
  <si>
    <t>Accrued Liabilities</t>
  </si>
  <si>
    <t>Long Term Debt</t>
  </si>
  <si>
    <t>Deferred Income Tax Liabilities</t>
  </si>
  <si>
    <t>Other Non Current Liabilities</t>
  </si>
  <si>
    <t>Minority Interest Liabilities</t>
  </si>
  <si>
    <t>Total Non Current Liabilities</t>
  </si>
  <si>
    <t>Common Stock Equity</t>
  </si>
  <si>
    <t>Common Par</t>
  </si>
  <si>
    <t>Additional Paid In Capital</t>
  </si>
  <si>
    <t>Cumulative Translation Adjustment</t>
  </si>
  <si>
    <t>Retained Earnings</t>
  </si>
  <si>
    <t>Treasury Stock</t>
  </si>
  <si>
    <t>Other Equity Adjustments</t>
  </si>
  <si>
    <t>Total Capitalization</t>
  </si>
  <si>
    <t>Total Equity</t>
  </si>
  <si>
    <t>Total Liabilities And Stock Equity</t>
  </si>
  <si>
    <t>Cash At Beginning Of Period</t>
  </si>
  <si>
    <t>Net Income Or Loss</t>
  </si>
  <si>
    <t>Depreciation Expenses</t>
  </si>
  <si>
    <t>Operating Gains Or Losses</t>
  </si>
  <si>
    <t>Increase Or Decrease In Receivables</t>
  </si>
  <si>
    <t>Increase Or Decrease In Inventories</t>
  </si>
  <si>
    <t>Increase Or Decrease In Other Current Assets</t>
  </si>
  <si>
    <t>Increase Or Decrease In Payables</t>
  </si>
  <si>
    <t>Increase Or Decrease In Other Current Liabilities</t>
  </si>
  <si>
    <t>Other Non Cash Items</t>
  </si>
  <si>
    <t>Net Cash From Continuing Operations</t>
  </si>
  <si>
    <t>Net Cash From Operating Activities</t>
  </si>
  <si>
    <t>Sale Of Long Term Investments</t>
  </si>
  <si>
    <t>Purchase Of Property Plant And Equipment</t>
  </si>
  <si>
    <t>Acquisitions</t>
  </si>
  <si>
    <t>Purchase Of Long Term Investments</t>
  </si>
  <si>
    <t>Other Investing Changes Net</t>
  </si>
  <si>
    <t>Net Cash From Investing Activities</t>
  </si>
  <si>
    <t>Issuance Of Debt</t>
  </si>
  <si>
    <t>Issuance Of Capital Stock</t>
  </si>
  <si>
    <t>Repayment Of Debt</t>
  </si>
  <si>
    <t>Repurchase Of Capital Stock</t>
  </si>
  <si>
    <t>Paymentof Cash Dividends</t>
  </si>
  <si>
    <t>Net Other Financing Charges</t>
  </si>
  <si>
    <t>Net Cash From Financing Activities</t>
  </si>
  <si>
    <t>Net Change In Cash And Cash Equivalents</t>
  </si>
  <si>
    <t>Cash At End Of Period</t>
  </si>
  <si>
    <t>Effect Of Exchange Rate Changes</t>
  </si>
  <si>
    <t xml:space="preserve">     Net Acquisitions</t>
  </si>
  <si>
    <t>Issuance (Retirement) of Stock, Net</t>
  </si>
  <si>
    <t>Issuance (Retirement) of Debt, Net</t>
  </si>
  <si>
    <t>Other Liabilities, Total-- not included in invested capital, likely pension items</t>
  </si>
  <si>
    <t xml:space="preserve">    Accounts Payable Period in days</t>
  </si>
  <si>
    <t>Redeemable Preferred Stock, Total</t>
  </si>
  <si>
    <t>Preferred Stock - Non Redeemable, Net</t>
  </si>
  <si>
    <t>Income Available to Common Excl. Extra Items</t>
  </si>
  <si>
    <t>Income Available to Common Incl. Extra Items</t>
  </si>
  <si>
    <t>Equity In Affiliates (may be misclassified)</t>
  </si>
  <si>
    <t>In Millions of USD (except for per share items)</t>
  </si>
  <si>
    <t>Capital Lease Obligations</t>
  </si>
  <si>
    <t>Amortization</t>
  </si>
  <si>
    <t>Cost of Sales with Depreciation</t>
  </si>
  <si>
    <t>Earnings from Equity Interest</t>
  </si>
  <si>
    <t>Diluted Weighted Shares Outstanding</t>
  </si>
  <si>
    <t>Deferred Revenues</t>
  </si>
  <si>
    <t>Purchase of Property, Plant, Equipment</t>
  </si>
  <si>
    <t>Net Cash from Investing Activities</t>
  </si>
  <si>
    <t>Effect of Exchange Rate Changes</t>
  </si>
  <si>
    <t>Operating Income after Depreciation</t>
  </si>
  <si>
    <t>Other Income, Net (includes in-process R&amp;D, rest/M&amp;A, other special charges)</t>
  </si>
  <si>
    <t>Disc Op's/Extra items (including acct change/tax loss carryforward, other gains)</t>
  </si>
  <si>
    <t>Other Current Assets + Prepaid Expenses - Balance Sheet</t>
  </si>
  <si>
    <t>Accrued Expenses and Accrued Liabilities - Balance Sheet</t>
  </si>
  <si>
    <t>Other Current Liabilities (incl def'd revenue) - Balance Sheet</t>
  </si>
  <si>
    <t>Other Non-Cash Items (including net cash from disc op's)</t>
  </si>
  <si>
    <t>All Other Investing Cash Flow Items, Total  (incl acquisitions, sale of PPE, LT invest, etc.)</t>
  </si>
  <si>
    <t>(Accumulated Depreciation) - ENTER AS NEGATIVE NUMBER</t>
  </si>
  <si>
    <t>Other Equity, Total (Cumulative Translation Adj + Other Equity Adjustments)</t>
  </si>
  <si>
    <t>Goodwill, Net (Cost in Excess)</t>
  </si>
  <si>
    <t>Dividends Paid per share</t>
  </si>
  <si>
    <t>Increase Or Decrease In Other Working Capital</t>
  </si>
  <si>
    <t>Income Acquired in Process R&amp;D</t>
  </si>
  <si>
    <t>Other Special Charges</t>
  </si>
  <si>
    <t>Extraordinary Income/Losses</t>
  </si>
  <si>
    <t>Income from Cum. Effect of Acct Chg</t>
  </si>
  <si>
    <t>Income from Tax Loss Carryforward</t>
  </si>
  <si>
    <t>Other Gains (Losses)</t>
  </si>
  <si>
    <t>Purchase of Property Plant And Equipment</t>
  </si>
  <si>
    <t>Increase Or Decrease in Prepaid Expenses</t>
  </si>
  <si>
    <t>Net Cash from Discontinued Operations</t>
  </si>
  <si>
    <t>Increase Or Decrease in Other Current Liabilities</t>
  </si>
  <si>
    <t>Cash and Equivalents</t>
  </si>
  <si>
    <t>Restricted Cash</t>
  </si>
  <si>
    <t>Notes Payable</t>
  </si>
  <si>
    <t>Preferred Securities of Subsidiary Trust</t>
  </si>
  <si>
    <t>Preferred Equity outside Stock Equity</t>
  </si>
  <si>
    <t>Net Cash From Discontinued Operations</t>
  </si>
  <si>
    <t>Income Restructuring and M&amp;A</t>
  </si>
  <si>
    <t>Issuance of Debt</t>
  </si>
  <si>
    <t>Repayment of Debt</t>
  </si>
  <si>
    <t>Issuance of Capital Stock</t>
  </si>
  <si>
    <t>Repurchase of Capital Stock</t>
  </si>
  <si>
    <t>Value</t>
  </si>
  <si>
    <t>ExtendedValue</t>
  </si>
  <si>
    <t>DIVIDENDS</t>
  </si>
  <si>
    <t>+ Capex</t>
  </si>
  <si>
    <t>- Depr</t>
  </si>
  <si>
    <t>Research And Development Expenses</t>
  </si>
  <si>
    <t>Special Income Charges</t>
  </si>
  <si>
    <t xml:space="preserve">Income Restructuring And M&amp;A </t>
  </si>
  <si>
    <t>Business Model --&gt;</t>
  </si>
  <si>
    <t>License</t>
  </si>
  <si>
    <t>© 2011 Valuentum Securities Inc. All Rights Reserved. The algorithms embedded in these spreadsheets: (1) are proprietary to Valuentum Securities Inc. (2) may not be copied or redistributed; (3) do not constitute investment advice offered by Valuentum; and (4) are not warranted to be accurate, complete or timely. Please note that all data included in this worksheet represent the forecasts and projections of the user, and do not in any way represent Valuentum's opinion on this given security.  Valuentum is not responsible for any damages or losses arising from any use of this spreadsheet or the data/information contained therein.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</si>
</sst>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quot;$&quot;#,##0.00"/>
    <numFmt numFmtId="167" formatCode="#,##0.0"/>
    <numFmt numFmtId="168" formatCode="0.00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Times New Roman"/>
      <family val="1"/>
    </font>
    <font>
      <sz val="8"/>
      <name val="Times New Roman"/>
      <family val="1"/>
    </font>
    <font>
      <i/>
      <sz val="10"/>
      <name val="Times New Roman"/>
      <family val="1"/>
    </font>
    <font>
      <u/>
      <sz val="10"/>
      <name val="Times New Roman"/>
      <family val="1"/>
    </font>
    <font>
      <b/>
      <sz val="10"/>
      <name val="Times New Roman"/>
      <family val="1"/>
    </font>
    <font>
      <b/>
      <u/>
      <sz val="10"/>
      <name val="Times New Roman"/>
      <family val="1"/>
    </font>
    <font>
      <sz val="10"/>
      <color indexed="9"/>
      <name val="Times New Roman"/>
      <family val="1"/>
    </font>
    <font>
      <sz val="10"/>
      <name val="Arial"/>
      <family val="2"/>
    </font>
    <font>
      <b/>
      <sz val="18"/>
      <name val="Times New Roman"/>
      <family val="1"/>
    </font>
    <font>
      <b/>
      <sz val="10"/>
      <name val="Arial"/>
      <family val="2"/>
    </font>
    <font>
      <b/>
      <sz val="14"/>
      <name val="Times New Roman"/>
      <family val="1"/>
    </font>
    <font>
      <u/>
      <sz val="10"/>
      <color theme="10"/>
      <name val="Arial"/>
      <family val="2"/>
    </font>
    <font>
      <b/>
      <sz val="13"/>
      <color rgb="FF000000"/>
      <name val="Arial"/>
      <family val="2"/>
    </font>
    <font>
      <sz val="13"/>
      <color rgb="FF000000"/>
      <name val="Arial"/>
      <family val="2"/>
    </font>
    <font>
      <sz val="10"/>
      <name val="Verdana"/>
      <family val="2"/>
    </font>
    <font>
      <u/>
      <sz val="10"/>
      <color indexed="12"/>
      <name val="Verdana"/>
      <family val="2"/>
    </font>
    <font>
      <sz val="10"/>
      <name val="Century Gothic"/>
      <family val="2"/>
    </font>
    <font>
      <sz val="10"/>
      <color theme="0"/>
      <name val="Arial"/>
      <family val="2"/>
    </font>
    <font>
      <sz val="10"/>
      <name val="Calibri"/>
      <family val="2"/>
    </font>
    <font>
      <b/>
      <sz val="16"/>
      <name val="Times New Roman"/>
      <family val="1"/>
    </font>
    <font>
      <u/>
      <sz val="10"/>
      <name val="Arial"/>
      <family val="2"/>
    </font>
    <font>
      <b/>
      <sz val="11"/>
      <color theme="1"/>
      <name val="Calibri"/>
      <family val="2"/>
      <scheme val="minor"/>
    </font>
    <font>
      <sz val="16"/>
      <color theme="0"/>
      <name val="Times New Roman"/>
      <family val="1"/>
    </font>
    <font>
      <sz val="10"/>
      <color theme="0"/>
      <name val="Times New Roman"/>
      <family val="1"/>
    </font>
    <font>
      <sz val="10"/>
      <color theme="0"/>
      <name val="Cambria"/>
      <family val="1"/>
    </font>
    <font>
      <u/>
      <sz val="11"/>
      <color theme="10"/>
      <name val="Calibri"/>
      <family val="2"/>
      <scheme val="minor"/>
    </font>
    <font>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4"/>
      <name val="Times New Roman"/>
      <family val="1"/>
    </font>
    <font>
      <i/>
      <sz val="14"/>
      <name val="Times New Roman"/>
      <family val="1"/>
    </font>
    <font>
      <sz val="14"/>
      <name val="Times New Roman"/>
      <family val="1"/>
    </font>
    <font>
      <sz val="14"/>
      <name val="Arial"/>
      <family val="2"/>
    </font>
    <font>
      <b/>
      <sz val="10"/>
      <color rgb="FFFF0000"/>
      <name val="Times New Roman"/>
      <family val="1"/>
    </font>
    <font>
      <sz val="10"/>
      <color rgb="FFFF0000"/>
      <name val="Arial"/>
      <family val="2"/>
    </font>
  </fonts>
  <fills count="50">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14"/>
        <bgColor indexed="64"/>
      </patternFill>
    </fill>
    <fill>
      <patternFill patternType="solid">
        <fgColor indexed="63"/>
        <bgColor indexed="64"/>
      </patternFill>
    </fill>
    <fill>
      <patternFill patternType="solid">
        <fgColor indexed="8"/>
        <bgColor indexed="64"/>
      </patternFill>
    </fill>
    <fill>
      <patternFill patternType="solid">
        <fgColor indexed="49"/>
        <bgColor indexed="64"/>
      </patternFill>
    </fill>
    <fill>
      <patternFill patternType="solid">
        <fgColor rgb="FFFFFFFF"/>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0000"/>
        <bgColor indexed="64"/>
      </patternFill>
    </fill>
    <fill>
      <patternFill patternType="solid">
        <fgColor rgb="FFFFC000"/>
        <bgColor indexed="64"/>
      </patternFill>
    </fill>
    <fill>
      <patternFill patternType="solid">
        <fgColor rgb="FF002060"/>
        <bgColor indexed="64"/>
      </patternFill>
    </fill>
    <fill>
      <patternFill patternType="solid">
        <fgColor indexed="9"/>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6337778862885"/>
        <bgColor indexed="64"/>
      </patternFill>
    </fill>
  </fills>
  <borders count="20">
    <border>
      <left/>
      <right/>
      <top/>
      <bottom/>
      <diagonal/>
    </border>
    <border>
      <left/>
      <right/>
      <top style="dashed">
        <color indexed="64"/>
      </top>
      <bottom/>
      <diagonal/>
    </border>
    <border>
      <left/>
      <right/>
      <top/>
      <bottom style="dashed">
        <color indexed="64"/>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19" fillId="0" borderId="0" applyNumberFormat="0" applyFill="0" applyBorder="0" applyAlignment="0" applyProtection="0"/>
    <xf numFmtId="0" fontId="22" fillId="0" borderId="0"/>
    <xf numFmtId="9" fontId="22"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xf numFmtId="0" fontId="24" fillId="0" borderId="0" applyNumberFormat="0" applyFill="0" applyBorder="0" applyAlignment="0" applyProtection="0"/>
    <xf numFmtId="0" fontId="15" fillId="0" borderId="0"/>
    <xf numFmtId="0" fontId="6" fillId="0" borderId="0"/>
    <xf numFmtId="9" fontId="15" fillId="0" borderId="0" applyFont="0" applyFill="0" applyBorder="0" applyAlignment="0" applyProtection="0"/>
    <xf numFmtId="43" fontId="15" fillId="0" borderId="0" applyFont="0" applyFill="0" applyBorder="0" applyAlignment="0" applyProtection="0"/>
    <xf numFmtId="0" fontId="5" fillId="0" borderId="0"/>
    <xf numFmtId="0" fontId="33" fillId="0" borderId="0" applyNumberFormat="0" applyFill="0" applyBorder="0" applyAlignment="0" applyProtection="0"/>
    <xf numFmtId="0" fontId="4" fillId="0" borderId="0"/>
    <xf numFmtId="0" fontId="3" fillId="0" borderId="0"/>
    <xf numFmtId="0" fontId="35" fillId="0" borderId="0" applyNumberFormat="0" applyFill="0" applyBorder="0" applyAlignment="0" applyProtection="0"/>
    <xf numFmtId="0" fontId="36" fillId="0" borderId="11"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4" applyNumberFormat="0" applyAlignment="0" applyProtection="0"/>
    <xf numFmtId="0" fontId="43" fillId="22" borderId="15" applyNumberFormat="0" applyAlignment="0" applyProtection="0"/>
    <xf numFmtId="0" fontId="44" fillId="22" borderId="14" applyNumberFormat="0" applyAlignment="0" applyProtection="0"/>
    <xf numFmtId="0" fontId="45" fillId="0" borderId="16" applyNumberFormat="0" applyFill="0" applyAlignment="0" applyProtection="0"/>
    <xf numFmtId="0" fontId="46" fillId="23" borderId="17"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29" fillId="0" borderId="19" applyNumberFormat="0" applyFill="0" applyAlignment="0" applyProtection="0"/>
    <xf numFmtId="0" fontId="4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49" fillId="48" borderId="0" applyNumberFormat="0" applyBorder="0" applyAlignment="0" applyProtection="0"/>
    <xf numFmtId="0" fontId="2" fillId="0" borderId="0"/>
    <xf numFmtId="0" fontId="2" fillId="24" borderId="18" applyNumberFormat="0" applyFont="0" applyAlignment="0" applyProtection="0"/>
    <xf numFmtId="0" fontId="1" fillId="0" borderId="0"/>
  </cellStyleXfs>
  <cellXfs count="197">
    <xf numFmtId="0" fontId="0" fillId="0" borderId="0" xfId="0"/>
    <xf numFmtId="0" fontId="8" fillId="0" borderId="0" xfId="0" applyFont="1"/>
    <xf numFmtId="0" fontId="9" fillId="0" borderId="0" xfId="0" applyFont="1" applyAlignment="1">
      <alignment horizontal="right"/>
    </xf>
    <xf numFmtId="0" fontId="10" fillId="0" borderId="0" xfId="0" applyFont="1" applyAlignment="1">
      <alignment horizontal="right"/>
    </xf>
    <xf numFmtId="0" fontId="10" fillId="0" borderId="0" xfId="0" applyFont="1"/>
    <xf numFmtId="164" fontId="8" fillId="0" borderId="0" xfId="0" applyNumberFormat="1" applyFont="1"/>
    <xf numFmtId="165" fontId="8" fillId="0" borderId="0" xfId="0" applyNumberFormat="1" applyFont="1"/>
    <xf numFmtId="164" fontId="8" fillId="4" borderId="0" xfId="0" applyNumberFormat="1" applyFont="1" applyFill="1"/>
    <xf numFmtId="0" fontId="8" fillId="0" borderId="1" xfId="0" applyFont="1" applyBorder="1"/>
    <xf numFmtId="0" fontId="8" fillId="0" borderId="2" xfId="0" applyFont="1" applyBorder="1"/>
    <xf numFmtId="0" fontId="8" fillId="0" borderId="0" xfId="0" applyFont="1" applyBorder="1"/>
    <xf numFmtId="164" fontId="8" fillId="2" borderId="0" xfId="0" applyNumberFormat="1" applyFont="1" applyFill="1" applyBorder="1"/>
    <xf numFmtId="164" fontId="8" fillId="0" borderId="0" xfId="0" applyNumberFormat="1" applyFont="1" applyBorder="1"/>
    <xf numFmtId="0" fontId="8" fillId="0" borderId="0" xfId="0" applyFont="1" applyFill="1"/>
    <xf numFmtId="0" fontId="0" fillId="0" borderId="0" xfId="0" applyFill="1"/>
    <xf numFmtId="164" fontId="8" fillId="6" borderId="0" xfId="0" applyNumberFormat="1" applyFont="1" applyFill="1"/>
    <xf numFmtId="164" fontId="8" fillId="0" borderId="0" xfId="0" applyNumberFormat="1" applyFont="1" applyFill="1" applyBorder="1"/>
    <xf numFmtId="164" fontId="8" fillId="6" borderId="0" xfId="0" applyNumberFormat="1" applyFont="1" applyFill="1" applyBorder="1"/>
    <xf numFmtId="0" fontId="8" fillId="0" borderId="0" xfId="0" applyFont="1" applyFill="1" applyBorder="1"/>
    <xf numFmtId="165" fontId="8" fillId="0" borderId="0" xfId="0" applyNumberFormat="1" applyFont="1" applyBorder="1"/>
    <xf numFmtId="165" fontId="8" fillId="2" borderId="0" xfId="0" applyNumberFormat="1" applyFont="1" applyFill="1" applyBorder="1"/>
    <xf numFmtId="165" fontId="8" fillId="0" borderId="0" xfId="0" applyNumberFormat="1" applyFont="1" applyFill="1"/>
    <xf numFmtId="165" fontId="8" fillId="0" borderId="0" xfId="0" applyNumberFormat="1" applyFont="1" applyFill="1" applyBorder="1"/>
    <xf numFmtId="166" fontId="8" fillId="5" borderId="0" xfId="0" applyNumberFormat="1" applyFont="1" applyFill="1" applyBorder="1"/>
    <xf numFmtId="0" fontId="11" fillId="0" borderId="0" xfId="0" applyFont="1"/>
    <xf numFmtId="166" fontId="8" fillId="0" borderId="0" xfId="0" applyNumberFormat="1" applyFont="1" applyFill="1" applyBorder="1"/>
    <xf numFmtId="0" fontId="8" fillId="0" borderId="0" xfId="0" applyFont="1" applyAlignment="1">
      <alignment wrapText="1"/>
    </xf>
    <xf numFmtId="0" fontId="12" fillId="0" borderId="0" xfId="0" applyFont="1"/>
    <xf numFmtId="0" fontId="13" fillId="0" borderId="0" xfId="0" applyFont="1"/>
    <xf numFmtId="10" fontId="8" fillId="0" borderId="0" xfId="0" applyNumberFormat="1" applyFont="1"/>
    <xf numFmtId="0" fontId="10" fillId="0" borderId="0" xfId="0" applyFont="1" applyBorder="1"/>
    <xf numFmtId="0" fontId="8" fillId="0" borderId="0" xfId="0" quotePrefix="1" applyFont="1" applyBorder="1"/>
    <xf numFmtId="10" fontId="8" fillId="0" borderId="0" xfId="0" applyNumberFormat="1" applyFont="1" applyBorder="1"/>
    <xf numFmtId="0" fontId="0" fillId="0" borderId="0" xfId="0" applyBorder="1"/>
    <xf numFmtId="0" fontId="8" fillId="2" borderId="0" xfId="0" applyFont="1" applyFill="1"/>
    <xf numFmtId="0" fontId="0" fillId="8" borderId="0" xfId="0" applyFill="1"/>
    <xf numFmtId="0" fontId="10" fillId="0" borderId="0" xfId="0" applyFont="1" applyFill="1" applyAlignment="1">
      <alignment horizontal="right"/>
    </xf>
    <xf numFmtId="0" fontId="8" fillId="0" borderId="1" xfId="0" applyFont="1" applyFill="1" applyBorder="1"/>
    <xf numFmtId="165" fontId="8" fillId="0" borderId="1" xfId="0" applyNumberFormat="1" applyFont="1" applyFill="1" applyBorder="1"/>
    <xf numFmtId="0" fontId="8" fillId="0" borderId="2" xfId="0" applyFont="1" applyFill="1" applyBorder="1"/>
    <xf numFmtId="164" fontId="8" fillId="0" borderId="2" xfId="0" applyNumberFormat="1" applyFont="1" applyFill="1" applyBorder="1"/>
    <xf numFmtId="165" fontId="8" fillId="0" borderId="2" xfId="0" applyNumberFormat="1" applyFont="1" applyFill="1" applyBorder="1"/>
    <xf numFmtId="2" fontId="8" fillId="0" borderId="0" xfId="0" applyNumberFormat="1" applyFont="1" applyFill="1" applyBorder="1"/>
    <xf numFmtId="164" fontId="8" fillId="0" borderId="0" xfId="0" applyNumberFormat="1" applyFont="1" applyFill="1"/>
    <xf numFmtId="3" fontId="8" fillId="0" borderId="0" xfId="0" applyNumberFormat="1" applyFont="1" applyBorder="1"/>
    <xf numFmtId="3" fontId="8" fillId="5" borderId="0" xfId="0" applyNumberFormat="1" applyFont="1" applyFill="1" applyBorder="1"/>
    <xf numFmtId="3" fontId="8" fillId="0" borderId="0" xfId="0" applyNumberFormat="1" applyFont="1"/>
    <xf numFmtId="3" fontId="8" fillId="3" borderId="0" xfId="0" applyNumberFormat="1" applyFont="1" applyFill="1" applyBorder="1"/>
    <xf numFmtId="3" fontId="8" fillId="2" borderId="0" xfId="0" applyNumberFormat="1" applyFont="1" applyFill="1" applyBorder="1"/>
    <xf numFmtId="4" fontId="8" fillId="0" borderId="0" xfId="0" applyNumberFormat="1" applyFont="1"/>
    <xf numFmtId="3" fontId="10" fillId="0" borderId="0" xfId="0" applyNumberFormat="1" applyFont="1"/>
    <xf numFmtId="3" fontId="10" fillId="0" borderId="0" xfId="0" applyNumberFormat="1" applyFont="1" applyBorder="1"/>
    <xf numFmtId="167" fontId="8" fillId="0" borderId="0" xfId="0" applyNumberFormat="1" applyFont="1"/>
    <xf numFmtId="167" fontId="8" fillId="2" borderId="0" xfId="0" applyNumberFormat="1" applyFont="1" applyFill="1" applyBorder="1"/>
    <xf numFmtId="3" fontId="8" fillId="0" borderId="0" xfId="0" applyNumberFormat="1" applyFont="1" applyFill="1" applyBorder="1"/>
    <xf numFmtId="166" fontId="8" fillId="6" borderId="0" xfId="0" applyNumberFormat="1" applyFont="1" applyFill="1"/>
    <xf numFmtId="0" fontId="20" fillId="0" borderId="0" xfId="0" applyFont="1" applyAlignment="1">
      <alignment horizontal="left" vertical="center" wrapText="1"/>
    </xf>
    <xf numFmtId="0" fontId="21" fillId="0" borderId="0" xfId="0" applyFont="1" applyAlignment="1">
      <alignment horizontal="left" vertical="center" wrapText="1"/>
    </xf>
    <xf numFmtId="0" fontId="21" fillId="10" borderId="0" xfId="0" applyFont="1" applyFill="1" applyAlignment="1">
      <alignment horizontal="left" vertical="center" wrapText="1"/>
    </xf>
    <xf numFmtId="10" fontId="8" fillId="0" borderId="0" xfId="0" applyNumberFormat="1" applyFont="1" applyFill="1" applyBorder="1"/>
    <xf numFmtId="4" fontId="21" fillId="0" borderId="0" xfId="0" applyNumberFormat="1" applyFont="1" applyAlignment="1">
      <alignment horizontal="left" vertical="center" wrapText="1"/>
    </xf>
    <xf numFmtId="4" fontId="21" fillId="10" borderId="0" xfId="0" applyNumberFormat="1" applyFont="1" applyFill="1" applyAlignment="1">
      <alignment horizontal="left" vertical="center" wrapText="1"/>
    </xf>
    <xf numFmtId="0" fontId="11" fillId="0" borderId="0" xfId="0" applyNumberFormat="1" applyFont="1"/>
    <xf numFmtId="0" fontId="8" fillId="0" borderId="0" xfId="0" applyNumberFormat="1" applyFont="1"/>
    <xf numFmtId="0" fontId="8" fillId="0" borderId="0" xfId="0" applyNumberFormat="1" applyFont="1" applyAlignment="1">
      <alignment wrapText="1"/>
    </xf>
    <xf numFmtId="0" fontId="15" fillId="0" borderId="0" xfId="0" applyFont="1"/>
    <xf numFmtId="164" fontId="0" fillId="0" borderId="0" xfId="0" applyNumberFormat="1"/>
    <xf numFmtId="168" fontId="0" fillId="0" borderId="0" xfId="0" applyNumberFormat="1"/>
    <xf numFmtId="3" fontId="0" fillId="0" borderId="0" xfId="0" applyNumberFormat="1"/>
    <xf numFmtId="4" fontId="8" fillId="9" borderId="0" xfId="0" applyNumberFormat="1" applyFont="1" applyFill="1"/>
    <xf numFmtId="2" fontId="8" fillId="0" borderId="0" xfId="0" applyNumberFormat="1" applyFont="1" applyBorder="1"/>
    <xf numFmtId="0" fontId="8" fillId="0" borderId="6" xfId="0" applyFont="1" applyBorder="1"/>
    <xf numFmtId="0" fontId="8" fillId="0" borderId="6" xfId="0" applyFont="1" applyFill="1" applyBorder="1"/>
    <xf numFmtId="0" fontId="15" fillId="0" borderId="0" xfId="0" applyFont="1" applyAlignment="1">
      <alignment wrapText="1"/>
    </xf>
    <xf numFmtId="164" fontId="8" fillId="13" borderId="0" xfId="0" applyNumberFormat="1" applyFont="1" applyFill="1"/>
    <xf numFmtId="165" fontId="8" fillId="0" borderId="0" xfId="0" applyNumberFormat="1" applyFont="1" applyAlignment="1">
      <alignment wrapText="1"/>
    </xf>
    <xf numFmtId="164" fontId="8" fillId="0" borderId="0" xfId="0" applyNumberFormat="1" applyFont="1" applyAlignment="1">
      <alignment wrapText="1"/>
    </xf>
    <xf numFmtId="3" fontId="8" fillId="0" borderId="0" xfId="0" applyNumberFormat="1" applyFont="1" applyAlignment="1">
      <alignment wrapText="1"/>
    </xf>
    <xf numFmtId="0" fontId="19" fillId="0" borderId="0" xfId="1"/>
    <xf numFmtId="10" fontId="8" fillId="6" borderId="0" xfId="0" applyNumberFormat="1" applyFont="1" applyFill="1"/>
    <xf numFmtId="0" fontId="8" fillId="0" borderId="0" xfId="0" applyFont="1" applyBorder="1" applyAlignment="1">
      <alignment horizontal="right"/>
    </xf>
    <xf numFmtId="2" fontId="8" fillId="0" borderId="0" xfId="0" applyNumberFormat="1" applyFont="1" applyAlignment="1">
      <alignment wrapText="1"/>
    </xf>
    <xf numFmtId="10" fontId="8" fillId="0" borderId="0" xfId="0" applyNumberFormat="1" applyFont="1" applyAlignment="1">
      <alignment wrapText="1"/>
    </xf>
    <xf numFmtId="0" fontId="15" fillId="0" borderId="0" xfId="0" quotePrefix="1" applyFont="1"/>
    <xf numFmtId="164" fontId="15" fillId="0" borderId="0" xfId="0" applyNumberFormat="1" applyFont="1"/>
    <xf numFmtId="165" fontId="0" fillId="0" borderId="0" xfId="0" applyNumberFormat="1"/>
    <xf numFmtId="0" fontId="17" fillId="0" borderId="0" xfId="0" applyFont="1"/>
    <xf numFmtId="0" fontId="26" fillId="0" borderId="0" xfId="0" applyFont="1"/>
    <xf numFmtId="164" fontId="8" fillId="5" borderId="0" xfId="0" applyNumberFormat="1" applyFont="1" applyFill="1" applyBorder="1"/>
    <xf numFmtId="0" fontId="8" fillId="0" borderId="5" xfId="0" applyFont="1" applyFill="1" applyBorder="1"/>
    <xf numFmtId="9" fontId="8" fillId="2" borderId="0" xfId="0" applyNumberFormat="1" applyFont="1" applyFill="1" applyBorder="1"/>
    <xf numFmtId="0" fontId="28" fillId="0" borderId="0" xfId="0" applyFont="1"/>
    <xf numFmtId="3" fontId="8" fillId="0" borderId="0" xfId="0" applyNumberFormat="1" applyFont="1" applyFill="1"/>
    <xf numFmtId="0" fontId="30" fillId="15" borderId="3" xfId="0" applyFont="1" applyFill="1" applyBorder="1"/>
    <xf numFmtId="0" fontId="31" fillId="15" borderId="3" xfId="0" applyFont="1" applyFill="1" applyBorder="1"/>
    <xf numFmtId="166" fontId="31" fillId="15" borderId="3" xfId="0" applyNumberFormat="1" applyFont="1" applyFill="1" applyBorder="1"/>
    <xf numFmtId="0" fontId="25" fillId="15" borderId="3" xfId="0" applyFont="1" applyFill="1" applyBorder="1"/>
    <xf numFmtId="0" fontId="8" fillId="0" borderId="0" xfId="0" applyFont="1" applyAlignment="1">
      <alignment horizontal="center" wrapText="1"/>
    </xf>
    <xf numFmtId="0" fontId="8" fillId="0" borderId="0" xfId="0" quotePrefix="1" applyFont="1"/>
    <xf numFmtId="0" fontId="15" fillId="0" borderId="0" xfId="0" applyFont="1" applyBorder="1"/>
    <xf numFmtId="3" fontId="8" fillId="0" borderId="0" xfId="0" applyNumberFormat="1" applyFont="1" applyAlignment="1">
      <alignment horizontal="right" wrapText="1"/>
    </xf>
    <xf numFmtId="0" fontId="8" fillId="0" borderId="0" xfId="0" applyFont="1" applyAlignment="1">
      <alignment horizontal="right" wrapText="1"/>
    </xf>
    <xf numFmtId="3" fontId="10" fillId="0" borderId="0" xfId="0" applyNumberFormat="1" applyFont="1" applyAlignment="1">
      <alignment horizontal="right" wrapText="1"/>
    </xf>
    <xf numFmtId="3" fontId="8"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4" fontId="0" fillId="0" borderId="0" xfId="0" applyNumberFormat="1"/>
    <xf numFmtId="0" fontId="12" fillId="0" borderId="0" xfId="0" applyFont="1" applyBorder="1"/>
    <xf numFmtId="3" fontId="10" fillId="0" borderId="0" xfId="0" applyNumberFormat="1" applyFont="1" applyFill="1" applyBorder="1"/>
    <xf numFmtId="4" fontId="8" fillId="0" borderId="0" xfId="0" applyNumberFormat="1" applyFont="1" applyFill="1"/>
    <xf numFmtId="3" fontId="8" fillId="13" borderId="0" xfId="0" applyNumberFormat="1" applyFont="1" applyFill="1" applyAlignment="1">
      <alignment horizontal="right" wrapText="1"/>
    </xf>
    <xf numFmtId="164" fontId="8" fillId="0" borderId="0" xfId="0" applyNumberFormat="1" applyFont="1" applyAlignment="1">
      <alignment horizontal="right" wrapText="1"/>
    </xf>
    <xf numFmtId="3" fontId="8" fillId="0" borderId="0" xfId="0" applyNumberFormat="1" applyFont="1" applyBorder="1" applyAlignment="1">
      <alignment horizontal="right"/>
    </xf>
    <xf numFmtId="3" fontId="8" fillId="4" borderId="0" xfId="0" applyNumberFormat="1" applyFont="1" applyFill="1" applyBorder="1" applyAlignment="1">
      <alignment horizontal="right"/>
    </xf>
    <xf numFmtId="3" fontId="8" fillId="14" borderId="0" xfId="0" applyNumberFormat="1" applyFont="1" applyFill="1" applyBorder="1" applyAlignment="1">
      <alignment horizontal="right"/>
    </xf>
    <xf numFmtId="3" fontId="8" fillId="7" borderId="0" xfId="0" applyNumberFormat="1" applyFont="1" applyFill="1" applyBorder="1" applyAlignment="1">
      <alignment horizontal="right"/>
    </xf>
    <xf numFmtId="0" fontId="8" fillId="0" borderId="7" xfId="0" applyFont="1" applyBorder="1"/>
    <xf numFmtId="3" fontId="8" fillId="0" borderId="5" xfId="0" applyNumberFormat="1" applyFont="1" applyFill="1" applyBorder="1"/>
    <xf numFmtId="3" fontId="8" fillId="0" borderId="8" xfId="0" applyNumberFormat="1" applyFont="1" applyFill="1" applyBorder="1"/>
    <xf numFmtId="0" fontId="8" fillId="0" borderId="9" xfId="0" applyFont="1" applyBorder="1"/>
    <xf numFmtId="0" fontId="8" fillId="0" borderId="4" xfId="0" applyFont="1" applyFill="1" applyBorder="1"/>
    <xf numFmtId="3" fontId="8" fillId="0" borderId="4" xfId="0" applyNumberFormat="1" applyFont="1" applyFill="1" applyBorder="1"/>
    <xf numFmtId="3" fontId="8" fillId="0" borderId="10" xfId="0" applyNumberFormat="1" applyFont="1" applyFill="1" applyBorder="1"/>
    <xf numFmtId="0" fontId="10" fillId="0" borderId="0" xfId="0" applyFont="1" applyFill="1" applyBorder="1"/>
    <xf numFmtId="0" fontId="0" fillId="0" borderId="0" xfId="0" applyNumberFormat="1"/>
    <xf numFmtId="1" fontId="0" fillId="0" borderId="0" xfId="0" applyNumberFormat="1"/>
    <xf numFmtId="165" fontId="10" fillId="0" borderId="0" xfId="0" applyNumberFormat="1" applyFont="1" applyFill="1" applyBorder="1"/>
    <xf numFmtId="0" fontId="10" fillId="0" borderId="6" xfId="0" applyFont="1" applyFill="1" applyBorder="1" applyAlignment="1">
      <alignment horizontal="right"/>
    </xf>
    <xf numFmtId="3" fontId="8" fillId="0" borderId="6" xfId="0" applyNumberFormat="1" applyFont="1" applyBorder="1" applyAlignment="1">
      <alignment horizontal="right" wrapText="1"/>
    </xf>
    <xf numFmtId="3" fontId="8" fillId="13" borderId="0" xfId="0" applyNumberFormat="1" applyFont="1" applyFill="1" applyBorder="1"/>
    <xf numFmtId="167" fontId="8" fillId="0" borderId="0" xfId="0" applyNumberFormat="1" applyFont="1" applyAlignment="1">
      <alignment wrapText="1"/>
    </xf>
    <xf numFmtId="167" fontId="0" fillId="0" borderId="0" xfId="0" applyNumberFormat="1"/>
    <xf numFmtId="165" fontId="10" fillId="0" borderId="0" xfId="0" applyNumberFormat="1" applyFont="1" applyBorder="1"/>
    <xf numFmtId="1" fontId="8" fillId="0" borderId="0" xfId="0" applyNumberFormat="1" applyFont="1" applyFill="1" applyBorder="1"/>
    <xf numFmtId="164" fontId="8" fillId="13" borderId="0" xfId="0" applyNumberFormat="1" applyFont="1" applyFill="1" applyBorder="1"/>
    <xf numFmtId="164" fontId="8" fillId="11" borderId="2" xfId="0" applyNumberFormat="1" applyFont="1" applyFill="1" applyBorder="1"/>
    <xf numFmtId="164" fontId="8" fillId="11" borderId="0" xfId="0" applyNumberFormat="1" applyFont="1" applyFill="1" applyBorder="1"/>
    <xf numFmtId="167" fontId="8" fillId="0" borderId="0" xfId="0" applyNumberFormat="1" applyFont="1" applyBorder="1"/>
    <xf numFmtId="164" fontId="0" fillId="13" borderId="0" xfId="0" applyNumberFormat="1" applyFill="1"/>
    <xf numFmtId="2" fontId="8" fillId="0" borderId="0" xfId="0" applyNumberFormat="1" applyFont="1"/>
    <xf numFmtId="10" fontId="8" fillId="2" borderId="2" xfId="0" applyNumberFormat="1" applyFont="1" applyFill="1" applyBorder="1"/>
    <xf numFmtId="164" fontId="8" fillId="11" borderId="0" xfId="0" applyNumberFormat="1" applyFont="1" applyFill="1"/>
    <xf numFmtId="4" fontId="8" fillId="0" borderId="0" xfId="0" applyNumberFormat="1" applyFont="1" applyBorder="1"/>
    <xf numFmtId="0" fontId="15" fillId="0" borderId="0" xfId="7"/>
    <xf numFmtId="2" fontId="11" fillId="0" borderId="0" xfId="0" applyNumberFormat="1" applyFont="1" applyAlignment="1">
      <alignment wrapText="1"/>
    </xf>
    <xf numFmtId="14" fontId="0" fillId="0" borderId="0" xfId="0" applyNumberFormat="1"/>
    <xf numFmtId="14" fontId="8" fillId="0" borderId="0" xfId="0" applyNumberFormat="1" applyFont="1" applyAlignment="1">
      <alignment horizontal="center" wrapText="1"/>
    </xf>
    <xf numFmtId="3" fontId="8" fillId="17" borderId="1" xfId="0" applyNumberFormat="1" applyFont="1" applyFill="1" applyBorder="1"/>
    <xf numFmtId="3" fontId="8" fillId="17" borderId="0" xfId="0" applyNumberFormat="1" applyFont="1" applyFill="1" applyBorder="1"/>
    <xf numFmtId="3" fontId="8" fillId="0" borderId="2" xfId="0" applyNumberFormat="1" applyFont="1" applyFill="1" applyBorder="1"/>
    <xf numFmtId="165" fontId="8" fillId="17" borderId="0" xfId="0" applyNumberFormat="1" applyFont="1" applyFill="1" applyBorder="1"/>
    <xf numFmtId="167" fontId="8" fillId="0" borderId="0" xfId="0" applyNumberFormat="1" applyFont="1" applyFill="1" applyBorder="1"/>
    <xf numFmtId="0" fontId="8" fillId="0" borderId="0" xfId="0" applyFont="1" applyFill="1" applyAlignment="1">
      <alignment horizontal="center" wrapText="1"/>
    </xf>
    <xf numFmtId="9" fontId="8" fillId="0" borderId="0" xfId="0" applyNumberFormat="1" applyFont="1" applyFill="1" applyBorder="1"/>
    <xf numFmtId="3" fontId="10" fillId="17" borderId="0" xfId="0" applyNumberFormat="1" applyFont="1" applyFill="1" applyAlignment="1">
      <alignment horizontal="right" wrapText="1"/>
    </xf>
    <xf numFmtId="3" fontId="8" fillId="0" borderId="0" xfId="0" applyNumberFormat="1" applyFont="1" applyFill="1" applyAlignment="1">
      <alignment horizontal="right" wrapText="1"/>
    </xf>
    <xf numFmtId="3" fontId="10" fillId="0" borderId="0" xfId="0" applyNumberFormat="1" applyFont="1" applyFill="1" applyAlignment="1">
      <alignment horizontal="right" wrapText="1"/>
    </xf>
    <xf numFmtId="14" fontId="8" fillId="0" borderId="0" xfId="0" applyNumberFormat="1" applyFont="1" applyFill="1" applyAlignment="1">
      <alignment horizontal="center" wrapText="1"/>
    </xf>
    <xf numFmtId="3" fontId="8" fillId="0" borderId="1" xfId="0" applyNumberFormat="1" applyFont="1" applyFill="1" applyBorder="1"/>
    <xf numFmtId="3" fontId="8" fillId="11" borderId="0" xfId="0" applyNumberFormat="1" applyFont="1" applyFill="1" applyBorder="1"/>
    <xf numFmtId="2" fontId="8" fillId="11" borderId="0" xfId="0" applyNumberFormat="1" applyFont="1" applyFill="1" applyBorder="1"/>
    <xf numFmtId="167" fontId="8" fillId="11" borderId="0" xfId="0" applyNumberFormat="1" applyFont="1" applyFill="1"/>
    <xf numFmtId="164" fontId="8" fillId="0" borderId="0" xfId="0" applyNumberFormat="1" applyFont="1" applyFill="1" applyAlignment="1">
      <alignment horizontal="right"/>
    </xf>
    <xf numFmtId="0" fontId="8" fillId="0" borderId="0" xfId="0" applyNumberFormat="1" applyFont="1" applyFill="1"/>
    <xf numFmtId="0" fontId="14" fillId="0" borderId="0" xfId="0" applyNumberFormat="1" applyFont="1" applyFill="1"/>
    <xf numFmtId="0" fontId="12" fillId="11" borderId="0" xfId="0" applyFont="1" applyFill="1"/>
    <xf numFmtId="14" fontId="10" fillId="0" borderId="0" xfId="0" applyNumberFormat="1" applyFont="1"/>
    <xf numFmtId="14" fontId="8" fillId="0" borderId="0" xfId="0" applyNumberFormat="1" applyFont="1"/>
    <xf numFmtId="14" fontId="15" fillId="0" borderId="0" xfId="0" applyNumberFormat="1" applyFont="1"/>
    <xf numFmtId="4" fontId="8" fillId="0" borderId="0" xfId="0" applyNumberFormat="1" applyFont="1" applyFill="1" applyBorder="1"/>
    <xf numFmtId="0" fontId="8" fillId="16" borderId="0" xfId="2" applyFont="1" applyFill="1" applyBorder="1" applyProtection="1"/>
    <xf numFmtId="0" fontId="0" fillId="11" borderId="0" xfId="0" applyFill="1"/>
    <xf numFmtId="0" fontId="15" fillId="11" borderId="0" xfId="0" applyFont="1" applyFill="1"/>
    <xf numFmtId="164" fontId="0" fillId="11" borderId="0" xfId="0" applyNumberFormat="1" applyFill="1"/>
    <xf numFmtId="0" fontId="16" fillId="0" borderId="0" xfId="0" applyFont="1"/>
    <xf numFmtId="164" fontId="16" fillId="0" borderId="0" xfId="0" applyNumberFormat="1" applyFont="1" applyFill="1"/>
    <xf numFmtId="0" fontId="18" fillId="49" borderId="0" xfId="0" applyFont="1" applyFill="1"/>
    <xf numFmtId="0" fontId="50" fillId="49" borderId="0" xfId="0" applyFont="1" applyFill="1" applyAlignment="1">
      <alignment horizontal="right"/>
    </xf>
    <xf numFmtId="3" fontId="18" fillId="49" borderId="0" xfId="0" applyNumberFormat="1" applyFont="1" applyFill="1" applyAlignment="1">
      <alignment horizontal="right" wrapText="1"/>
    </xf>
    <xf numFmtId="0" fontId="51" fillId="0" borderId="0" xfId="0" applyFont="1" applyBorder="1"/>
    <xf numFmtId="0" fontId="53" fillId="0" borderId="0" xfId="0" applyFont="1"/>
    <xf numFmtId="0" fontId="52" fillId="16" borderId="0" xfId="2" applyFont="1" applyFill="1" applyBorder="1" applyProtection="1"/>
    <xf numFmtId="0" fontId="52" fillId="0" borderId="0" xfId="0" applyFont="1" applyFill="1"/>
    <xf numFmtId="4" fontId="52" fillId="17" borderId="1" xfId="0" applyNumberFormat="1" applyFont="1" applyFill="1" applyBorder="1"/>
    <xf numFmtId="4" fontId="52" fillId="0" borderId="0" xfId="0" applyNumberFormat="1" applyFont="1" applyFill="1"/>
    <xf numFmtId="4" fontId="18" fillId="11" borderId="0" xfId="0" applyNumberFormat="1" applyFont="1" applyFill="1"/>
    <xf numFmtId="164" fontId="27" fillId="11" borderId="0" xfId="0" applyNumberFormat="1" applyFont="1" applyFill="1"/>
    <xf numFmtId="3" fontId="52" fillId="0" borderId="0" xfId="0" applyNumberFormat="1" applyFont="1" applyBorder="1"/>
    <xf numFmtId="10" fontId="8" fillId="12" borderId="0" xfId="0" applyNumberFormat="1" applyFont="1" applyFill="1" applyAlignment="1">
      <alignment horizontal="right" wrapText="1"/>
    </xf>
    <xf numFmtId="0" fontId="54" fillId="0" borderId="0" xfId="0" applyFont="1" applyFill="1" applyAlignment="1">
      <alignment wrapText="1"/>
    </xf>
    <xf numFmtId="0" fontId="55" fillId="0" borderId="0" xfId="0" applyFont="1"/>
    <xf numFmtId="0" fontId="54" fillId="0" borderId="0" xfId="0" applyFont="1" applyAlignment="1">
      <alignment wrapText="1"/>
    </xf>
    <xf numFmtId="0" fontId="8" fillId="11" borderId="0" xfId="0" applyFont="1" applyFill="1"/>
    <xf numFmtId="0" fontId="32" fillId="0" borderId="0" xfId="0" applyFont="1"/>
    <xf numFmtId="164" fontId="32" fillId="0" borderId="0" xfId="0" applyNumberFormat="1" applyFont="1"/>
    <xf numFmtId="3" fontId="32" fillId="0" borderId="0" xfId="0" applyNumberFormat="1" applyFont="1"/>
    <xf numFmtId="0" fontId="15" fillId="0" borderId="0" xfId="7" applyFont="1" applyAlignment="1">
      <alignment wrapText="1"/>
    </xf>
    <xf numFmtId="0" fontId="15" fillId="0" borderId="0" xfId="7" applyAlignment="1">
      <alignment wrapText="1"/>
    </xf>
  </cellXfs>
  <cellStyles count="58">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1" builtinId="27" customBuiltin="1"/>
    <cellStyle name="Calculation" xfId="25" builtinId="22" customBuiltin="1"/>
    <cellStyle name="Century" xfId="5"/>
    <cellStyle name="Check Cell" xfId="27" builtinId="23" customBuiltin="1"/>
    <cellStyle name="Comma 2" xfId="10"/>
    <cellStyle name="Explanatory Text" xfId="29" builtinId="53" customBuiltin="1"/>
    <cellStyle name="Good" xfId="20" builtinId="26" customBuiltin="1"/>
    <cellStyle name="Heading 1" xfId="16" builtinId="16" customBuiltin="1"/>
    <cellStyle name="Heading 2" xfId="17" builtinId="17" customBuiltin="1"/>
    <cellStyle name="Heading 3" xfId="18" builtinId="18" customBuiltin="1"/>
    <cellStyle name="Heading 4" xfId="19" builtinId="19" customBuiltin="1"/>
    <cellStyle name="Hyperlink" xfId="1" builtinId="8"/>
    <cellStyle name="Hyperlink 2" xfId="4"/>
    <cellStyle name="Hyperlink 3" xfId="12"/>
    <cellStyle name="Input" xfId="23" builtinId="20" customBuiltin="1"/>
    <cellStyle name="Linked Cell" xfId="26" builtinId="24" customBuiltin="1"/>
    <cellStyle name="Neutral" xfId="22" builtinId="28" customBuiltin="1"/>
    <cellStyle name="Normal" xfId="0" builtinId="0"/>
    <cellStyle name="Normal 2" xfId="2"/>
    <cellStyle name="Normal 3" xfId="7"/>
    <cellStyle name="Normal 4" xfId="8"/>
    <cellStyle name="Normal 5" xfId="11"/>
    <cellStyle name="Normal 6" xfId="13"/>
    <cellStyle name="Normal 7" xfId="14"/>
    <cellStyle name="Normal 8" xfId="55"/>
    <cellStyle name="Normal 9" xfId="57"/>
    <cellStyle name="Note 2" xfId="56"/>
    <cellStyle name="Output" xfId="24" builtinId="21" customBuiltin="1"/>
    <cellStyle name="Percent 2" xfId="3"/>
    <cellStyle name="Percent 3" xfId="9"/>
    <cellStyle name="Title" xfId="15" builtinId="15" customBuiltin="1"/>
    <cellStyle name="Total" xfId="30" builtinId="25" customBuiltin="1"/>
    <cellStyle name="Vertex42 Style" xfId="6"/>
    <cellStyle name="Warning Text" xfId="28" builtinId="11" customBuiltin="1"/>
  </cellStyles>
  <dxfs count="0"/>
  <tableStyles count="0" defaultTableStyle="TableStyleMedium2" defaultPivotStyle="PivotStyleLight16"/>
  <colors>
    <mruColors>
      <color rgb="FFFF505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7.5000000000000011E-2"/>
          <c:y val="4.9019738823735469E-2"/>
          <c:w val="0.76712554680664913"/>
          <c:h val="0.89215686274509809"/>
        </c:manualLayout>
      </c:layout>
      <c:pie3DChart>
        <c:varyColors val="1"/>
        <c:ser>
          <c:idx val="0"/>
          <c:order val="0"/>
          <c:explosion val="25"/>
          <c:dLbls>
            <c:showLegendKey val="0"/>
            <c:showVal val="1"/>
            <c:showCatName val="0"/>
            <c:showSerName val="0"/>
            <c:showPercent val="0"/>
            <c:showBubbleSize val="0"/>
            <c:showLeaderLines val="1"/>
          </c:dLbls>
          <c:cat>
            <c:strRef>
              <c:f>Model!$K$20:$K$22</c:f>
              <c:strCache>
                <c:ptCount val="3"/>
                <c:pt idx="0">
                  <c:v>Equity</c:v>
                </c:pt>
                <c:pt idx="1">
                  <c:v>Debt</c:v>
                </c:pt>
                <c:pt idx="2">
                  <c:v>Preferred</c:v>
                </c:pt>
              </c:strCache>
            </c:strRef>
          </c:cat>
          <c:val>
            <c:numRef>
              <c:f>Model!$L$20:$L$22</c:f>
              <c:numCache>
                <c:formatCode>0.0%</c:formatCode>
                <c:ptCount val="3"/>
                <c:pt idx="0">
                  <c:v>0.95191977164726027</c:v>
                </c:pt>
                <c:pt idx="1">
                  <c:v>4.8080228352739743E-2</c:v>
                </c:pt>
                <c:pt idx="2">
                  <c:v>0</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zero"/>
    <c:showDLblsOverMax val="0"/>
  </c:chart>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00902808617232"/>
          <c:y val="7.1850123620806436E-2"/>
          <c:w val="0.8462021621734277"/>
          <c:h val="0.72165000784069333"/>
        </c:manualLayout>
      </c:layout>
      <c:barChart>
        <c:barDir val="col"/>
        <c:grouping val="stacked"/>
        <c:varyColors val="0"/>
        <c:ser>
          <c:idx val="0"/>
          <c:order val="0"/>
          <c:invertIfNegative val="0"/>
          <c:dPt>
            <c:idx val="1"/>
            <c:invertIfNegative val="0"/>
            <c:bubble3D val="0"/>
            <c:spPr>
              <a:solidFill>
                <a:schemeClr val="bg1"/>
              </a:solidFill>
            </c:spPr>
          </c:dPt>
          <c:dPt>
            <c:idx val="2"/>
            <c:invertIfNegative val="0"/>
            <c:bubble3D val="0"/>
            <c:spPr>
              <a:solidFill>
                <a:schemeClr val="bg1"/>
              </a:solidFill>
            </c:spPr>
          </c:dPt>
          <c:dLbls>
            <c:dLbl>
              <c:idx val="0"/>
              <c:layout/>
              <c:showLegendKey val="0"/>
              <c:showVal val="1"/>
              <c:showCatName val="0"/>
              <c:showSerName val="0"/>
              <c:showPercent val="0"/>
              <c:showBubbleSize val="0"/>
            </c:dLbl>
            <c:showLegendKey val="0"/>
            <c:showVal val="0"/>
            <c:showCatName val="0"/>
            <c:showSerName val="0"/>
            <c:showPercent val="0"/>
            <c:showBubbleSize val="0"/>
          </c:dLbls>
          <c:cat>
            <c:strRef>
              <c:f>Model!$O$20:$S$20</c:f>
              <c:strCache>
                <c:ptCount val="5"/>
                <c:pt idx="0">
                  <c:v>Yr 1-5</c:v>
                </c:pt>
                <c:pt idx="1">
                  <c:v>Yr 6-20</c:v>
                </c:pt>
                <c:pt idx="2">
                  <c:v>Perpetuity</c:v>
                </c:pt>
                <c:pt idx="3">
                  <c:v>Net Balance Sheet Impact</c:v>
                </c:pt>
                <c:pt idx="4">
                  <c:v>Equity Value</c:v>
                </c:pt>
              </c:strCache>
            </c:strRef>
          </c:cat>
          <c:val>
            <c:numRef>
              <c:f>Model!$O$21:$S$21</c:f>
              <c:numCache>
                <c:formatCode>#,##0</c:formatCode>
                <c:ptCount val="5"/>
                <c:pt idx="0">
                  <c:v>100945.16044014804</c:v>
                </c:pt>
                <c:pt idx="1">
                  <c:v>100945.16044014804</c:v>
                </c:pt>
                <c:pt idx="2">
                  <c:v>100945.16044014804</c:v>
                </c:pt>
              </c:numCache>
            </c:numRef>
          </c:val>
        </c:ser>
        <c:ser>
          <c:idx val="1"/>
          <c:order val="1"/>
          <c:invertIfNegative val="0"/>
          <c:dPt>
            <c:idx val="0"/>
            <c:invertIfNegative val="0"/>
            <c:bubble3D val="0"/>
            <c:spPr>
              <a:solidFill>
                <a:schemeClr val="bg1"/>
              </a:solidFill>
            </c:spPr>
          </c:dPt>
          <c:dPt>
            <c:idx val="2"/>
            <c:invertIfNegative val="0"/>
            <c:bubble3D val="0"/>
            <c:spPr>
              <a:solidFill>
                <a:schemeClr val="bg1"/>
              </a:solidFill>
            </c:spPr>
          </c:dPt>
          <c:dLbls>
            <c:dLbl>
              <c:idx val="1"/>
              <c:layout/>
              <c:showLegendKey val="0"/>
              <c:showVal val="1"/>
              <c:showCatName val="0"/>
              <c:showSerName val="0"/>
              <c:showPercent val="0"/>
              <c:showBubbleSize val="0"/>
            </c:dLbl>
            <c:showLegendKey val="0"/>
            <c:showVal val="0"/>
            <c:showCatName val="0"/>
            <c:showSerName val="0"/>
            <c:showPercent val="0"/>
            <c:showBubbleSize val="0"/>
          </c:dLbls>
          <c:cat>
            <c:strRef>
              <c:f>Model!$O$20:$S$20</c:f>
              <c:strCache>
                <c:ptCount val="5"/>
                <c:pt idx="0">
                  <c:v>Yr 1-5</c:v>
                </c:pt>
                <c:pt idx="1">
                  <c:v>Yr 6-20</c:v>
                </c:pt>
                <c:pt idx="2">
                  <c:v>Perpetuity</c:v>
                </c:pt>
                <c:pt idx="3">
                  <c:v>Net Balance Sheet Impact</c:v>
                </c:pt>
                <c:pt idx="4">
                  <c:v>Equity Value</c:v>
                </c:pt>
              </c:strCache>
            </c:strRef>
          </c:cat>
          <c:val>
            <c:numRef>
              <c:f>Model!$O$22:$S$22</c:f>
              <c:numCache>
                <c:formatCode>#,##0</c:formatCode>
                <c:ptCount val="5"/>
                <c:pt idx="0">
                  <c:v>184989.89246440335</c:v>
                </c:pt>
                <c:pt idx="1">
                  <c:v>184989.89246440335</c:v>
                </c:pt>
                <c:pt idx="2">
                  <c:v>184989.89246440335</c:v>
                </c:pt>
              </c:numCache>
            </c:numRef>
          </c:val>
        </c:ser>
        <c:ser>
          <c:idx val="2"/>
          <c:order val="2"/>
          <c:invertIfNegative val="0"/>
          <c:dPt>
            <c:idx val="0"/>
            <c:invertIfNegative val="0"/>
            <c:bubble3D val="0"/>
            <c:spPr>
              <a:solidFill>
                <a:schemeClr val="bg1"/>
              </a:solidFill>
            </c:spPr>
          </c:dPt>
          <c:dPt>
            <c:idx val="1"/>
            <c:invertIfNegative val="0"/>
            <c:bubble3D val="0"/>
            <c:spPr>
              <a:solidFill>
                <a:schemeClr val="bg1"/>
              </a:solidFill>
            </c:spPr>
          </c:dPt>
          <c:dPt>
            <c:idx val="3"/>
            <c:invertIfNegative val="0"/>
            <c:bubble3D val="0"/>
            <c:spPr>
              <a:solidFill>
                <a:schemeClr val="bg1"/>
              </a:solidFill>
            </c:spPr>
          </c:dPt>
          <c:dLbls>
            <c:dLbl>
              <c:idx val="2"/>
              <c:layout/>
              <c:showLegendKey val="0"/>
              <c:showVal val="1"/>
              <c:showCatName val="0"/>
              <c:showSerName val="0"/>
              <c:showPercent val="0"/>
              <c:showBubbleSize val="0"/>
            </c:dLbl>
            <c:showLegendKey val="0"/>
            <c:showVal val="0"/>
            <c:showCatName val="0"/>
            <c:showSerName val="0"/>
            <c:showPercent val="0"/>
            <c:showBubbleSize val="0"/>
          </c:dLbls>
          <c:cat>
            <c:strRef>
              <c:f>Model!$O$20:$S$20</c:f>
              <c:strCache>
                <c:ptCount val="5"/>
                <c:pt idx="0">
                  <c:v>Yr 1-5</c:v>
                </c:pt>
                <c:pt idx="1">
                  <c:v>Yr 6-20</c:v>
                </c:pt>
                <c:pt idx="2">
                  <c:v>Perpetuity</c:v>
                </c:pt>
                <c:pt idx="3">
                  <c:v>Net Balance Sheet Impact</c:v>
                </c:pt>
                <c:pt idx="4">
                  <c:v>Equity Value</c:v>
                </c:pt>
              </c:strCache>
            </c:strRef>
          </c:cat>
          <c:val>
            <c:numRef>
              <c:f>Model!$O$23:$S$23</c:f>
              <c:numCache>
                <c:formatCode>#,##0</c:formatCode>
                <c:ptCount val="5"/>
                <c:pt idx="0">
                  <c:v>117418.33957887876</c:v>
                </c:pt>
                <c:pt idx="1">
                  <c:v>117418.33957887876</c:v>
                </c:pt>
                <c:pt idx="2">
                  <c:v>117418.33957887876</c:v>
                </c:pt>
                <c:pt idx="3">
                  <c:v>403353.39248343016</c:v>
                </c:pt>
              </c:numCache>
            </c:numRef>
          </c:val>
        </c:ser>
        <c:ser>
          <c:idx val="3"/>
          <c:order val="3"/>
          <c:invertIfNegative val="0"/>
          <c:dLbls>
            <c:showLegendKey val="0"/>
            <c:showVal val="1"/>
            <c:showCatName val="0"/>
            <c:showSerName val="0"/>
            <c:showPercent val="0"/>
            <c:showBubbleSize val="0"/>
            <c:showLeaderLines val="0"/>
          </c:dLbls>
          <c:cat>
            <c:strRef>
              <c:f>Model!$O$20:$S$20</c:f>
              <c:strCache>
                <c:ptCount val="5"/>
                <c:pt idx="0">
                  <c:v>Yr 1-5</c:v>
                </c:pt>
                <c:pt idx="1">
                  <c:v>Yr 6-20</c:v>
                </c:pt>
                <c:pt idx="2">
                  <c:v>Perpetuity</c:v>
                </c:pt>
                <c:pt idx="3">
                  <c:v>Net Balance Sheet Impact</c:v>
                </c:pt>
                <c:pt idx="4">
                  <c:v>Equity Value</c:v>
                </c:pt>
              </c:strCache>
            </c:strRef>
          </c:cat>
          <c:val>
            <c:numRef>
              <c:f>Model!$O$24:$S$24</c:f>
              <c:numCache>
                <c:formatCode>General</c:formatCode>
                <c:ptCount val="5"/>
                <c:pt idx="3" formatCode="#,##0">
                  <c:v>63064</c:v>
                </c:pt>
              </c:numCache>
            </c:numRef>
          </c:val>
        </c:ser>
        <c:ser>
          <c:idx val="4"/>
          <c:order val="4"/>
          <c:invertIfNegative val="0"/>
          <c:dLbls>
            <c:dLbl>
              <c:idx val="4"/>
              <c:layout/>
              <c:showLegendKey val="0"/>
              <c:showVal val="1"/>
              <c:showCatName val="0"/>
              <c:showSerName val="0"/>
              <c:showPercent val="0"/>
              <c:showBubbleSize val="0"/>
            </c:dLbl>
            <c:showLegendKey val="0"/>
            <c:showVal val="0"/>
            <c:showCatName val="0"/>
            <c:showSerName val="0"/>
            <c:showPercent val="0"/>
            <c:showBubbleSize val="0"/>
          </c:dLbls>
          <c:cat>
            <c:strRef>
              <c:f>Model!$O$20:$S$20</c:f>
              <c:strCache>
                <c:ptCount val="5"/>
                <c:pt idx="0">
                  <c:v>Yr 1-5</c:v>
                </c:pt>
                <c:pt idx="1">
                  <c:v>Yr 6-20</c:v>
                </c:pt>
                <c:pt idx="2">
                  <c:v>Perpetuity</c:v>
                </c:pt>
                <c:pt idx="3">
                  <c:v>Net Balance Sheet Impact</c:v>
                </c:pt>
                <c:pt idx="4">
                  <c:v>Equity Value</c:v>
                </c:pt>
              </c:strCache>
            </c:strRef>
          </c:cat>
          <c:val>
            <c:numRef>
              <c:f>Model!$O$25:$S$25</c:f>
              <c:numCache>
                <c:formatCode>General</c:formatCode>
                <c:ptCount val="5"/>
                <c:pt idx="4" formatCode="#,##0">
                  <c:v>466417.39248343016</c:v>
                </c:pt>
              </c:numCache>
            </c:numRef>
          </c:val>
        </c:ser>
        <c:dLbls>
          <c:showLegendKey val="0"/>
          <c:showVal val="0"/>
          <c:showCatName val="0"/>
          <c:showSerName val="0"/>
          <c:showPercent val="0"/>
          <c:showBubbleSize val="0"/>
        </c:dLbls>
        <c:gapWidth val="150"/>
        <c:overlap val="100"/>
        <c:axId val="50153728"/>
        <c:axId val="50155520"/>
      </c:barChart>
      <c:catAx>
        <c:axId val="50153728"/>
        <c:scaling>
          <c:orientation val="minMax"/>
        </c:scaling>
        <c:delete val="0"/>
        <c:axPos val="b"/>
        <c:majorTickMark val="out"/>
        <c:minorTickMark val="none"/>
        <c:tickLblPos val="nextTo"/>
        <c:crossAx val="50155520"/>
        <c:crosses val="autoZero"/>
        <c:auto val="1"/>
        <c:lblAlgn val="ctr"/>
        <c:lblOffset val="100"/>
        <c:noMultiLvlLbl val="0"/>
      </c:catAx>
      <c:valAx>
        <c:axId val="50155520"/>
        <c:scaling>
          <c:orientation val="minMax"/>
        </c:scaling>
        <c:delete val="0"/>
        <c:axPos val="l"/>
        <c:majorGridlines>
          <c:spPr>
            <a:ln>
              <a:noFill/>
            </a:ln>
          </c:spPr>
        </c:majorGridlines>
        <c:numFmt formatCode="#,##0" sourceLinked="1"/>
        <c:majorTickMark val="out"/>
        <c:minorTickMark val="none"/>
        <c:tickLblPos val="nextTo"/>
        <c:crossAx val="50153728"/>
        <c:crosses val="autoZero"/>
        <c:crossBetween val="between"/>
      </c:valAx>
    </c:plotArea>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263340</xdr:colOff>
      <xdr:row>20</xdr:row>
      <xdr:rowOff>45945</xdr:rowOff>
    </xdr:from>
    <xdr:to>
      <xdr:col>9</xdr:col>
      <xdr:colOff>465046</xdr:colOff>
      <xdr:row>41</xdr:row>
      <xdr:rowOff>44823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190501</xdr:colOff>
      <xdr:row>1</xdr:row>
      <xdr:rowOff>89648</xdr:rowOff>
    </xdr:from>
    <xdr:to>
      <xdr:col>12</xdr:col>
      <xdr:colOff>1549539</xdr:colOff>
      <xdr:row>16</xdr:row>
      <xdr:rowOff>67234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76"/>
  <sheetViews>
    <sheetView topLeftCell="H437" workbookViewId="0">
      <selection activeCell="E446" sqref="E446"/>
    </sheetView>
  </sheetViews>
  <sheetFormatPr defaultRowHeight="13.2" x14ac:dyDescent="0.25"/>
  <cols>
    <col min="1" max="1" width="57.5546875" hidden="1" customWidth="1"/>
    <col min="2" max="5" width="34.88671875" hidden="1" customWidth="1"/>
    <col min="6" max="6" width="0" hidden="1" customWidth="1"/>
    <col min="7" max="7" width="21.109375" hidden="1" customWidth="1"/>
  </cols>
  <sheetData>
    <row r="1" spans="1:6" ht="16.8" x14ac:dyDescent="0.25">
      <c r="A1" s="123"/>
      <c r="B1" s="123"/>
      <c r="C1" s="123"/>
      <c r="D1" s="123"/>
      <c r="E1" s="123"/>
      <c r="F1" s="56"/>
    </row>
    <row r="2" spans="1:6" ht="16.8" x14ac:dyDescent="0.25">
      <c r="A2" s="123"/>
      <c r="B2" s="105"/>
      <c r="C2" s="105"/>
      <c r="D2" s="105"/>
      <c r="E2" s="105"/>
      <c r="F2" s="60"/>
    </row>
    <row r="3" spans="1:6" ht="16.8" x14ac:dyDescent="0.25">
      <c r="A3" s="123"/>
      <c r="B3" s="105"/>
      <c r="C3" s="105"/>
      <c r="D3" s="105"/>
      <c r="E3" s="105"/>
      <c r="F3" s="57"/>
    </row>
    <row r="4" spans="1:6" ht="16.8" x14ac:dyDescent="0.25">
      <c r="A4" s="123"/>
      <c r="B4" s="105"/>
      <c r="C4" s="105"/>
      <c r="D4" s="105"/>
      <c r="E4" s="105"/>
      <c r="F4" s="61"/>
    </row>
    <row r="5" spans="1:6" ht="16.8" x14ac:dyDescent="0.25">
      <c r="A5" s="123"/>
      <c r="B5" s="105"/>
      <c r="C5" s="105"/>
      <c r="D5" s="105"/>
      <c r="E5" s="105"/>
      <c r="F5" s="60"/>
    </row>
    <row r="6" spans="1:6" ht="16.8" x14ac:dyDescent="0.25">
      <c r="A6" s="123"/>
      <c r="B6" s="105"/>
      <c r="C6" s="105"/>
      <c r="D6" s="105"/>
      <c r="E6" s="105"/>
      <c r="F6" s="61"/>
    </row>
    <row r="7" spans="1:6" ht="16.8" x14ac:dyDescent="0.25">
      <c r="A7" s="123"/>
      <c r="B7" s="105"/>
      <c r="C7" s="105"/>
      <c r="D7" s="105"/>
      <c r="E7" s="105"/>
      <c r="F7" s="60"/>
    </row>
    <row r="8" spans="1:6" ht="16.8" x14ac:dyDescent="0.25">
      <c r="A8" s="123"/>
      <c r="B8" s="105"/>
      <c r="C8" s="105"/>
      <c r="D8" s="105"/>
      <c r="E8" s="105"/>
      <c r="F8" s="57"/>
    </row>
    <row r="9" spans="1:6" ht="16.8" x14ac:dyDescent="0.25">
      <c r="A9" s="123"/>
      <c r="B9" s="105"/>
      <c r="C9" s="105"/>
      <c r="D9" s="105"/>
      <c r="E9" s="105"/>
      <c r="F9" s="57"/>
    </row>
    <row r="10" spans="1:6" ht="16.8" x14ac:dyDescent="0.25">
      <c r="A10" s="123"/>
      <c r="B10" s="123"/>
      <c r="C10" s="123"/>
      <c r="D10" s="123"/>
      <c r="E10" s="123"/>
      <c r="F10" s="57"/>
    </row>
    <row r="11" spans="1:6" ht="16.8" x14ac:dyDescent="0.25">
      <c r="A11" s="123"/>
      <c r="B11" s="123"/>
      <c r="C11" s="123"/>
      <c r="D11" s="123"/>
      <c r="E11" s="105"/>
      <c r="F11" s="57"/>
    </row>
    <row r="12" spans="1:6" ht="16.8" x14ac:dyDescent="0.25">
      <c r="A12" s="123"/>
      <c r="B12" s="105"/>
      <c r="C12" s="105"/>
      <c r="D12" s="105"/>
      <c r="E12" s="105"/>
      <c r="F12" s="57"/>
    </row>
    <row r="13" spans="1:6" ht="16.8" x14ac:dyDescent="0.25">
      <c r="A13" s="123"/>
      <c r="B13" s="105"/>
      <c r="C13" s="105"/>
      <c r="D13" s="105"/>
      <c r="E13" s="105"/>
      <c r="F13" s="61"/>
    </row>
    <row r="14" spans="1:6" ht="16.8" x14ac:dyDescent="0.25">
      <c r="A14" s="123"/>
      <c r="B14" s="105"/>
      <c r="C14" s="105"/>
      <c r="D14" s="105"/>
      <c r="E14" s="105"/>
      <c r="F14" s="61"/>
    </row>
    <row r="15" spans="1:6" ht="16.8" x14ac:dyDescent="0.25">
      <c r="A15" s="123"/>
      <c r="B15" s="123"/>
      <c r="C15" s="123"/>
      <c r="D15" s="123"/>
      <c r="E15" s="123"/>
      <c r="F15" s="57"/>
    </row>
    <row r="16" spans="1:6" ht="16.8" x14ac:dyDescent="0.25">
      <c r="A16" s="123"/>
      <c r="B16" s="123"/>
      <c r="C16" s="123"/>
      <c r="D16" s="123"/>
      <c r="E16" s="123"/>
      <c r="F16" s="57"/>
    </row>
    <row r="17" spans="1:6" ht="16.8" x14ac:dyDescent="0.25">
      <c r="A17" s="123"/>
      <c r="B17" s="123"/>
      <c r="C17" s="123"/>
      <c r="D17" s="123"/>
      <c r="E17" s="123"/>
      <c r="F17" s="57"/>
    </row>
    <row r="18" spans="1:6" ht="16.8" x14ac:dyDescent="0.25">
      <c r="A18" s="123"/>
      <c r="B18" s="105"/>
      <c r="C18" s="105"/>
      <c r="D18" s="105"/>
      <c r="E18" s="105"/>
      <c r="F18" s="61"/>
    </row>
    <row r="19" spans="1:6" ht="16.8" x14ac:dyDescent="0.25">
      <c r="A19" s="123"/>
      <c r="B19" s="105"/>
      <c r="C19" s="105"/>
      <c r="D19" s="105"/>
      <c r="E19" s="105"/>
      <c r="F19" s="61"/>
    </row>
    <row r="20" spans="1:6" ht="16.8" x14ac:dyDescent="0.25">
      <c r="A20" s="123"/>
      <c r="B20" s="123"/>
      <c r="C20" s="123"/>
      <c r="D20" s="123"/>
      <c r="E20" s="123"/>
      <c r="F20" s="57"/>
    </row>
    <row r="21" spans="1:6" ht="16.8" x14ac:dyDescent="0.25">
      <c r="A21" s="123"/>
      <c r="B21" s="123"/>
      <c r="C21" s="123"/>
      <c r="D21" s="123"/>
      <c r="E21" s="123"/>
      <c r="F21" s="57"/>
    </row>
    <row r="22" spans="1:6" ht="16.8" x14ac:dyDescent="0.25">
      <c r="A22" s="123"/>
      <c r="B22" s="105"/>
      <c r="C22" s="105"/>
      <c r="D22" s="105"/>
      <c r="E22" s="105"/>
      <c r="F22" s="61"/>
    </row>
    <row r="23" spans="1:6" ht="16.8" x14ac:dyDescent="0.25">
      <c r="A23" s="123"/>
      <c r="B23" s="123"/>
      <c r="C23" s="123"/>
      <c r="D23" s="123"/>
      <c r="E23" s="123"/>
      <c r="F23" s="57"/>
    </row>
    <row r="24" spans="1:6" ht="16.8" x14ac:dyDescent="0.25">
      <c r="A24" s="123"/>
      <c r="B24" s="123"/>
      <c r="C24" s="123"/>
      <c r="D24" s="123"/>
      <c r="E24" s="123"/>
      <c r="F24" s="57"/>
    </row>
    <row r="25" spans="1:6" ht="16.8" x14ac:dyDescent="0.25">
      <c r="A25" s="123"/>
      <c r="B25" s="123"/>
      <c r="C25" s="123"/>
      <c r="D25" s="123"/>
      <c r="E25" s="123"/>
      <c r="F25" s="57"/>
    </row>
    <row r="26" spans="1:6" ht="16.8" x14ac:dyDescent="0.25">
      <c r="A26" s="123"/>
      <c r="B26" s="105"/>
      <c r="C26" s="105"/>
      <c r="D26" s="105"/>
      <c r="E26" s="105"/>
      <c r="F26" s="61"/>
    </row>
    <row r="27" spans="1:6" ht="16.8" x14ac:dyDescent="0.25">
      <c r="A27" s="123"/>
      <c r="B27" s="123"/>
      <c r="C27" s="123"/>
      <c r="D27" s="123"/>
      <c r="E27" s="123"/>
      <c r="F27" s="57"/>
    </row>
    <row r="28" spans="1:6" ht="16.8" x14ac:dyDescent="0.25">
      <c r="A28" s="123"/>
      <c r="B28" s="105"/>
      <c r="C28" s="105"/>
      <c r="D28" s="105"/>
      <c r="E28" s="105"/>
      <c r="F28" s="61"/>
    </row>
    <row r="29" spans="1:6" ht="16.8" x14ac:dyDescent="0.25">
      <c r="A29" s="123"/>
      <c r="B29" s="105"/>
      <c r="C29" s="105"/>
      <c r="D29" s="105"/>
      <c r="E29" s="105"/>
      <c r="F29" s="61"/>
    </row>
    <row r="30" spans="1:6" ht="16.8" x14ac:dyDescent="0.25">
      <c r="A30" s="123"/>
      <c r="B30" s="123"/>
      <c r="C30" s="123"/>
      <c r="D30" s="123"/>
      <c r="E30" s="123"/>
      <c r="F30" s="57"/>
    </row>
    <row r="31" spans="1:6" ht="16.8" x14ac:dyDescent="0.25">
      <c r="A31" s="123"/>
      <c r="B31" s="123"/>
      <c r="C31" s="123"/>
      <c r="D31" s="123"/>
      <c r="E31" s="123"/>
      <c r="F31" s="57"/>
    </row>
    <row r="32" spans="1:6" ht="16.8" x14ac:dyDescent="0.25">
      <c r="A32" s="123"/>
      <c r="B32" s="123"/>
      <c r="C32" s="123"/>
      <c r="D32" s="123"/>
      <c r="E32" s="123"/>
      <c r="F32" s="58"/>
    </row>
    <row r="33" spans="1:7" ht="16.8" x14ac:dyDescent="0.25">
      <c r="A33" s="123"/>
      <c r="B33" s="123"/>
      <c r="C33" s="123"/>
      <c r="D33" s="123"/>
      <c r="E33" s="123"/>
      <c r="F33" s="57"/>
    </row>
    <row r="34" spans="1:7" ht="16.8" x14ac:dyDescent="0.25">
      <c r="A34" s="123"/>
      <c r="B34" s="105"/>
      <c r="C34" s="105"/>
      <c r="D34" s="105"/>
      <c r="E34" s="105"/>
      <c r="F34" s="57"/>
      <c r="G34" s="105"/>
    </row>
    <row r="35" spans="1:7" ht="16.8" x14ac:dyDescent="0.25">
      <c r="A35" s="123"/>
      <c r="B35" s="123"/>
      <c r="C35" s="123"/>
      <c r="D35" s="123"/>
      <c r="E35" s="123"/>
      <c r="F35" s="58"/>
    </row>
    <row r="36" spans="1:7" ht="16.8" x14ac:dyDescent="0.25">
      <c r="A36" s="123"/>
      <c r="B36" s="123"/>
      <c r="C36" s="123"/>
      <c r="D36" s="123"/>
      <c r="E36" s="123"/>
      <c r="F36" s="58"/>
    </row>
    <row r="37" spans="1:7" ht="16.8" x14ac:dyDescent="0.25">
      <c r="A37" s="123"/>
      <c r="B37" s="123"/>
      <c r="C37" s="123"/>
      <c r="D37" s="123"/>
      <c r="E37" s="123"/>
      <c r="F37" s="57"/>
    </row>
    <row r="38" spans="1:7" ht="16.8" x14ac:dyDescent="0.25">
      <c r="A38" s="123"/>
      <c r="B38" s="123"/>
      <c r="C38" s="123"/>
      <c r="D38" s="123"/>
      <c r="E38" s="123"/>
      <c r="F38" s="57"/>
    </row>
    <row r="39" spans="1:7" ht="16.8" x14ac:dyDescent="0.25">
      <c r="A39" s="123"/>
      <c r="B39" s="123"/>
      <c r="C39" s="123"/>
      <c r="D39" s="123"/>
      <c r="E39" s="123"/>
      <c r="F39" s="57"/>
    </row>
    <row r="40" spans="1:7" ht="16.8" x14ac:dyDescent="0.25">
      <c r="A40" s="123"/>
      <c r="B40" s="123"/>
      <c r="C40" s="123"/>
      <c r="D40" s="123"/>
      <c r="E40" s="123"/>
      <c r="F40" s="57"/>
    </row>
    <row r="41" spans="1:7" ht="16.8" x14ac:dyDescent="0.25">
      <c r="A41" s="123"/>
      <c r="B41" s="123"/>
      <c r="C41" s="123"/>
      <c r="D41" s="123"/>
      <c r="E41" s="123"/>
      <c r="F41" s="57"/>
    </row>
    <row r="42" spans="1:7" ht="16.8" x14ac:dyDescent="0.25">
      <c r="A42" s="123"/>
      <c r="B42" s="123"/>
      <c r="C42" s="123"/>
      <c r="D42" s="123"/>
      <c r="E42" s="123"/>
      <c r="F42" s="57"/>
    </row>
    <row r="43" spans="1:7" ht="16.8" x14ac:dyDescent="0.25">
      <c r="A43" s="123"/>
      <c r="B43" s="123"/>
      <c r="C43" s="123"/>
      <c r="D43" s="123"/>
      <c r="E43" s="123"/>
      <c r="F43" s="57"/>
    </row>
    <row r="44" spans="1:7" ht="16.8" x14ac:dyDescent="0.25">
      <c r="A44" s="123"/>
      <c r="B44" s="123"/>
      <c r="C44" s="123"/>
      <c r="D44" s="123"/>
      <c r="E44" s="123"/>
      <c r="F44" s="57"/>
    </row>
    <row r="45" spans="1:7" ht="16.8" x14ac:dyDescent="0.25">
      <c r="A45" s="123"/>
      <c r="B45" s="123"/>
      <c r="C45" s="123"/>
      <c r="D45" s="123"/>
      <c r="E45" s="123"/>
      <c r="F45" s="57"/>
    </row>
    <row r="46" spans="1:7" ht="16.8" x14ac:dyDescent="0.25">
      <c r="A46" s="123"/>
      <c r="B46" s="123"/>
      <c r="C46" s="123"/>
      <c r="D46" s="123"/>
      <c r="E46" s="123"/>
      <c r="F46" s="57"/>
    </row>
    <row r="47" spans="1:7" ht="16.8" x14ac:dyDescent="0.25">
      <c r="A47" s="123"/>
      <c r="B47" s="123"/>
      <c r="C47" s="123"/>
      <c r="D47" s="123"/>
      <c r="E47" s="123"/>
      <c r="F47" s="57"/>
    </row>
    <row r="48" spans="1:7" ht="16.8" x14ac:dyDescent="0.25">
      <c r="A48" s="123"/>
      <c r="B48" s="123"/>
      <c r="C48" s="123"/>
      <c r="D48" s="123"/>
      <c r="E48" s="123"/>
      <c r="F48" s="57"/>
    </row>
    <row r="49" spans="1:6" ht="16.8" x14ac:dyDescent="0.25">
      <c r="A49" s="123"/>
      <c r="B49" s="123"/>
      <c r="C49" s="123"/>
      <c r="D49" s="123"/>
      <c r="E49" s="123"/>
      <c r="F49" s="57"/>
    </row>
    <row r="50" spans="1:6" ht="16.8" x14ac:dyDescent="0.25">
      <c r="A50" s="123"/>
      <c r="B50" s="123"/>
      <c r="C50" s="123"/>
      <c r="D50" s="123"/>
      <c r="E50" s="123"/>
      <c r="F50" s="57"/>
    </row>
    <row r="51" spans="1:6" ht="16.8" x14ac:dyDescent="0.25">
      <c r="A51" s="57"/>
      <c r="B51" s="57"/>
      <c r="C51" s="57"/>
      <c r="D51" s="57"/>
      <c r="E51" s="57"/>
      <c r="F51" s="57"/>
    </row>
    <row r="52" spans="1:6" ht="16.8" x14ac:dyDescent="0.25">
      <c r="A52" s="57"/>
      <c r="B52" s="57"/>
      <c r="C52" s="57"/>
      <c r="D52" s="57"/>
      <c r="E52" s="57"/>
      <c r="F52" s="57"/>
    </row>
    <row r="53" spans="1:6" ht="16.8" x14ac:dyDescent="0.25">
      <c r="A53" s="57"/>
      <c r="B53" s="57"/>
      <c r="C53" s="57"/>
      <c r="D53" s="57"/>
      <c r="E53" s="57"/>
      <c r="F53" s="57"/>
    </row>
    <row r="54" spans="1:6" ht="16.8" x14ac:dyDescent="0.25">
      <c r="A54" s="57"/>
      <c r="B54" s="57"/>
      <c r="C54" s="57"/>
      <c r="D54" s="57"/>
      <c r="E54" s="57"/>
      <c r="F54" s="57"/>
    </row>
    <row r="55" spans="1:6" ht="16.8" x14ac:dyDescent="0.25">
      <c r="A55" s="57"/>
      <c r="B55" s="57"/>
      <c r="C55" s="57"/>
      <c r="D55" s="57"/>
      <c r="E55" s="57"/>
      <c r="F55" s="57"/>
    </row>
    <row r="56" spans="1:6" ht="16.8" x14ac:dyDescent="0.25">
      <c r="A56" s="57"/>
      <c r="B56" s="57"/>
      <c r="C56" s="57"/>
      <c r="D56" s="57"/>
      <c r="E56" s="57"/>
      <c r="F56" s="57"/>
    </row>
    <row r="57" spans="1:6" ht="16.8" x14ac:dyDescent="0.25">
      <c r="A57" s="57"/>
      <c r="B57" s="57"/>
      <c r="C57" s="57"/>
      <c r="D57" s="57"/>
      <c r="E57" s="57"/>
      <c r="F57" s="57"/>
    </row>
    <row r="58" spans="1:6" ht="16.8" x14ac:dyDescent="0.25">
      <c r="A58" s="57"/>
      <c r="B58" s="57"/>
      <c r="C58" s="57"/>
      <c r="D58" s="57"/>
      <c r="E58" s="57"/>
      <c r="F58" s="57"/>
    </row>
    <row r="59" spans="1:6" ht="16.8" x14ac:dyDescent="0.25">
      <c r="A59" s="57"/>
      <c r="B59" s="57"/>
      <c r="C59" s="57"/>
      <c r="D59" s="57"/>
      <c r="E59" s="57"/>
      <c r="F59" s="57"/>
    </row>
    <row r="60" spans="1:6" x14ac:dyDescent="0.25">
      <c r="A60" s="35"/>
      <c r="B60" s="35"/>
      <c r="C60" s="35"/>
      <c r="D60" s="35"/>
      <c r="E60" s="35"/>
    </row>
    <row r="61" spans="1:6" x14ac:dyDescent="0.25">
      <c r="A61" s="123"/>
      <c r="B61" s="123"/>
      <c r="C61" s="123"/>
      <c r="D61" s="123"/>
      <c r="E61" s="123"/>
    </row>
    <row r="62" spans="1:6" x14ac:dyDescent="0.25">
      <c r="A62" s="123"/>
      <c r="B62" s="105"/>
      <c r="C62" s="105"/>
      <c r="D62" s="105"/>
      <c r="E62" s="105"/>
    </row>
    <row r="63" spans="1:6" x14ac:dyDescent="0.25">
      <c r="A63" s="123"/>
      <c r="B63" s="105"/>
      <c r="C63" s="105"/>
      <c r="D63" s="123"/>
      <c r="E63" s="105"/>
    </row>
    <row r="64" spans="1:6" x14ac:dyDescent="0.25">
      <c r="A64" s="123"/>
      <c r="B64" s="105"/>
      <c r="C64" s="105"/>
      <c r="D64" s="105"/>
      <c r="E64" s="105"/>
    </row>
    <row r="65" spans="1:5" x14ac:dyDescent="0.25">
      <c r="A65" s="123"/>
      <c r="B65" s="105"/>
      <c r="C65" s="105"/>
      <c r="D65" s="105"/>
      <c r="E65" s="105"/>
    </row>
    <row r="66" spans="1:5" x14ac:dyDescent="0.25">
      <c r="A66" s="123"/>
      <c r="B66" s="123"/>
      <c r="C66" s="123"/>
      <c r="D66" s="123"/>
      <c r="E66" s="123"/>
    </row>
    <row r="67" spans="1:5" x14ac:dyDescent="0.25">
      <c r="A67" s="123"/>
      <c r="B67" s="105"/>
      <c r="C67" s="105"/>
      <c r="D67" s="105"/>
      <c r="E67" s="105"/>
    </row>
    <row r="68" spans="1:5" x14ac:dyDescent="0.25">
      <c r="A68" s="123"/>
      <c r="B68" s="105"/>
      <c r="C68" s="105"/>
      <c r="D68" s="105"/>
      <c r="E68" s="105"/>
    </row>
    <row r="69" spans="1:5" x14ac:dyDescent="0.25">
      <c r="A69" s="123"/>
      <c r="B69" s="123"/>
      <c r="C69" s="105"/>
      <c r="D69" s="123"/>
      <c r="E69" s="105"/>
    </row>
    <row r="70" spans="1:5" x14ac:dyDescent="0.25">
      <c r="A70" s="123"/>
      <c r="B70" s="123"/>
      <c r="C70" s="123"/>
      <c r="D70" s="105"/>
      <c r="E70" s="105"/>
    </row>
    <row r="71" spans="1:5" x14ac:dyDescent="0.25">
      <c r="A71" s="123"/>
      <c r="B71" s="105"/>
      <c r="C71" s="105"/>
      <c r="D71" s="105"/>
      <c r="E71" s="105"/>
    </row>
    <row r="72" spans="1:5" x14ac:dyDescent="0.25">
      <c r="A72" s="123"/>
      <c r="B72" s="105"/>
      <c r="C72" s="105"/>
      <c r="D72" s="105"/>
      <c r="E72" s="105"/>
    </row>
    <row r="73" spans="1:5" x14ac:dyDescent="0.25">
      <c r="A73" s="123"/>
      <c r="B73" s="105"/>
      <c r="C73" s="105"/>
      <c r="D73" s="105"/>
      <c r="E73" s="105"/>
    </row>
    <row r="74" spans="1:5" x14ac:dyDescent="0.25">
      <c r="A74" s="123"/>
      <c r="B74" s="105"/>
      <c r="C74" s="105"/>
      <c r="D74" s="105"/>
      <c r="E74" s="105"/>
    </row>
    <row r="75" spans="1:5" x14ac:dyDescent="0.25">
      <c r="A75" s="123"/>
      <c r="B75" s="105"/>
      <c r="C75" s="105"/>
      <c r="D75" s="105"/>
      <c r="E75" s="105"/>
    </row>
    <row r="76" spans="1:5" x14ac:dyDescent="0.25">
      <c r="A76" s="123"/>
      <c r="B76" s="105"/>
      <c r="C76" s="105"/>
      <c r="D76" s="105"/>
      <c r="E76" s="105"/>
    </row>
    <row r="77" spans="1:5" x14ac:dyDescent="0.25">
      <c r="A77" s="123"/>
      <c r="B77" s="105"/>
      <c r="C77" s="105"/>
      <c r="D77" s="105"/>
      <c r="E77" s="105"/>
    </row>
    <row r="78" spans="1:5" x14ac:dyDescent="0.25">
      <c r="A78" s="123"/>
      <c r="B78" s="105"/>
      <c r="C78" s="105"/>
      <c r="D78" s="105"/>
      <c r="E78" s="105"/>
    </row>
    <row r="79" spans="1:5" x14ac:dyDescent="0.25">
      <c r="A79" s="123"/>
      <c r="B79" s="105"/>
      <c r="C79" s="105"/>
      <c r="D79" s="105"/>
      <c r="E79" s="105"/>
    </row>
    <row r="80" spans="1:5" x14ac:dyDescent="0.25">
      <c r="A80" s="123"/>
      <c r="B80" s="105"/>
      <c r="C80" s="105"/>
      <c r="D80" s="105"/>
      <c r="E80" s="123"/>
    </row>
    <row r="81" spans="1:5" x14ac:dyDescent="0.25">
      <c r="A81" s="123"/>
      <c r="B81" s="105"/>
      <c r="C81" s="105"/>
      <c r="D81" s="105"/>
      <c r="E81" s="105"/>
    </row>
    <row r="82" spans="1:5" x14ac:dyDescent="0.25">
      <c r="A82" s="123"/>
      <c r="B82" s="123"/>
      <c r="C82" s="123"/>
      <c r="D82" s="123"/>
      <c r="E82" s="105"/>
    </row>
    <row r="83" spans="1:5" x14ac:dyDescent="0.25">
      <c r="A83" s="123"/>
      <c r="B83" s="105"/>
      <c r="C83" s="105"/>
      <c r="D83" s="105"/>
      <c r="E83" s="105"/>
    </row>
    <row r="84" spans="1:5" x14ac:dyDescent="0.25">
      <c r="A84" s="123"/>
      <c r="B84" s="105"/>
      <c r="C84" s="105"/>
      <c r="D84" s="105"/>
      <c r="E84" s="105"/>
    </row>
    <row r="85" spans="1:5" x14ac:dyDescent="0.25">
      <c r="A85" s="123"/>
      <c r="B85" s="105"/>
      <c r="C85" s="105"/>
      <c r="D85" s="105"/>
      <c r="E85" s="105"/>
    </row>
    <row r="86" spans="1:5" x14ac:dyDescent="0.25">
      <c r="A86" s="123"/>
      <c r="B86" s="123"/>
      <c r="C86" s="123"/>
      <c r="D86" s="123"/>
      <c r="E86" s="123"/>
    </row>
    <row r="87" spans="1:5" x14ac:dyDescent="0.25">
      <c r="A87" s="123"/>
      <c r="B87" s="105"/>
      <c r="C87" s="105"/>
      <c r="D87" s="105"/>
      <c r="E87" s="105"/>
    </row>
    <row r="88" spans="1:5" x14ac:dyDescent="0.25">
      <c r="A88" s="123"/>
      <c r="B88" s="105"/>
      <c r="C88" s="105"/>
      <c r="D88" s="105"/>
      <c r="E88" s="105"/>
    </row>
    <row r="89" spans="1:5" x14ac:dyDescent="0.25">
      <c r="A89" s="123"/>
      <c r="B89" s="105"/>
      <c r="C89" s="105"/>
      <c r="D89" s="105"/>
      <c r="E89" s="105"/>
    </row>
    <row r="90" spans="1:5" x14ac:dyDescent="0.25">
      <c r="A90" s="123"/>
      <c r="B90" s="105"/>
      <c r="C90" s="105"/>
      <c r="D90" s="105"/>
      <c r="E90" s="105"/>
    </row>
    <row r="91" spans="1:5" x14ac:dyDescent="0.25">
      <c r="A91" s="123"/>
      <c r="B91" s="105"/>
      <c r="C91" s="105"/>
      <c r="D91" s="105"/>
      <c r="E91" s="105"/>
    </row>
    <row r="92" spans="1:5" x14ac:dyDescent="0.25">
      <c r="A92" s="123"/>
      <c r="B92" s="105"/>
      <c r="C92" s="105"/>
      <c r="D92" s="105"/>
      <c r="E92" s="105"/>
    </row>
    <row r="93" spans="1:5" x14ac:dyDescent="0.25">
      <c r="A93" s="123"/>
      <c r="B93" s="123"/>
      <c r="C93" s="123"/>
      <c r="D93" s="123"/>
      <c r="E93" s="123"/>
    </row>
    <row r="94" spans="1:5" x14ac:dyDescent="0.25">
      <c r="A94" s="123"/>
      <c r="B94" s="123"/>
      <c r="C94" s="123"/>
      <c r="D94" s="123"/>
      <c r="E94" s="123"/>
    </row>
    <row r="95" spans="1:5" x14ac:dyDescent="0.25">
      <c r="A95" s="123"/>
      <c r="B95" s="105"/>
      <c r="C95" s="105"/>
      <c r="D95" s="105"/>
      <c r="E95" s="105"/>
    </row>
    <row r="96" spans="1:5" x14ac:dyDescent="0.25">
      <c r="A96" s="123"/>
      <c r="B96" s="105"/>
      <c r="C96" s="105"/>
      <c r="D96" s="105"/>
      <c r="E96" s="105"/>
    </row>
    <row r="97" spans="1:5" x14ac:dyDescent="0.25">
      <c r="A97" s="123"/>
      <c r="B97" s="105"/>
      <c r="C97" s="105"/>
      <c r="D97" s="105"/>
      <c r="E97" s="105"/>
    </row>
    <row r="98" spans="1:5" x14ac:dyDescent="0.25">
      <c r="A98" s="123"/>
      <c r="B98" s="105"/>
      <c r="C98" s="105"/>
      <c r="D98" s="105"/>
      <c r="E98" s="105"/>
    </row>
    <row r="99" spans="1:5" x14ac:dyDescent="0.25">
      <c r="A99" s="123"/>
      <c r="B99" s="105"/>
      <c r="C99" s="105"/>
      <c r="D99" s="105"/>
      <c r="E99" s="105"/>
    </row>
    <row r="100" spans="1:5" x14ac:dyDescent="0.25">
      <c r="A100" s="123"/>
      <c r="B100" s="105"/>
      <c r="C100" s="105"/>
      <c r="D100" s="105"/>
      <c r="E100" s="105"/>
    </row>
    <row r="101" spans="1:5" x14ac:dyDescent="0.25">
      <c r="A101" s="123"/>
      <c r="B101" s="105"/>
      <c r="C101" s="105"/>
      <c r="D101" s="105"/>
      <c r="E101" s="105"/>
    </row>
    <row r="102" spans="1:5" x14ac:dyDescent="0.25">
      <c r="A102" s="123"/>
      <c r="B102" s="123"/>
      <c r="C102" s="123"/>
      <c r="D102" s="123"/>
      <c r="E102" s="123"/>
    </row>
    <row r="103" spans="1:5" x14ac:dyDescent="0.25">
      <c r="A103" s="123"/>
      <c r="B103" s="105"/>
      <c r="C103" s="105"/>
      <c r="D103" s="105"/>
      <c r="E103" s="105"/>
    </row>
    <row r="104" spans="1:5" ht="16.8" x14ac:dyDescent="0.25">
      <c r="A104" s="58"/>
      <c r="B104" s="61"/>
      <c r="C104" s="61"/>
      <c r="D104" s="61"/>
      <c r="E104" s="61"/>
    </row>
    <row r="105" spans="1:5" ht="16.8" x14ac:dyDescent="0.25">
      <c r="A105" s="58"/>
      <c r="B105" s="61"/>
      <c r="C105" s="61"/>
      <c r="D105" s="61"/>
      <c r="E105" s="61"/>
    </row>
    <row r="106" spans="1:5" ht="16.8" x14ac:dyDescent="0.25">
      <c r="A106" s="58"/>
      <c r="B106" s="61"/>
      <c r="C106" s="61"/>
      <c r="D106" s="61"/>
      <c r="E106" s="61"/>
    </row>
    <row r="107" spans="1:5" ht="16.8" x14ac:dyDescent="0.25">
      <c r="A107" s="58"/>
      <c r="B107" s="61"/>
      <c r="C107" s="61"/>
      <c r="D107" s="61"/>
      <c r="E107" s="61"/>
    </row>
    <row r="108" spans="1:5" ht="16.8" x14ac:dyDescent="0.25">
      <c r="A108" s="58"/>
      <c r="B108" s="61"/>
      <c r="C108" s="61"/>
      <c r="D108" s="61"/>
      <c r="E108" s="61"/>
    </row>
    <row r="109" spans="1:5" ht="16.8" x14ac:dyDescent="0.25">
      <c r="A109" s="58"/>
      <c r="B109" s="61"/>
      <c r="C109" s="61"/>
      <c r="D109" s="61"/>
      <c r="E109" s="61"/>
    </row>
    <row r="110" spans="1:5" ht="16.8" x14ac:dyDescent="0.25">
      <c r="A110" s="58"/>
      <c r="B110" s="61"/>
      <c r="C110" s="61"/>
      <c r="D110" s="61"/>
      <c r="E110" s="61"/>
    </row>
    <row r="111" spans="1:5" ht="16.8" x14ac:dyDescent="0.25">
      <c r="A111" s="58"/>
      <c r="B111" s="61"/>
      <c r="C111" s="61"/>
      <c r="D111" s="61"/>
      <c r="E111" s="61"/>
    </row>
    <row r="112" spans="1:5" ht="16.8" x14ac:dyDescent="0.25">
      <c r="A112" s="58"/>
      <c r="B112" s="61"/>
      <c r="C112" s="61"/>
      <c r="D112" s="61"/>
      <c r="E112" s="61"/>
    </row>
    <row r="113" spans="1:5" ht="16.8" x14ac:dyDescent="0.25">
      <c r="A113" s="58"/>
      <c r="B113" s="61"/>
      <c r="C113" s="61"/>
      <c r="D113" s="61"/>
      <c r="E113" s="61"/>
    </row>
    <row r="114" spans="1:5" ht="16.8" x14ac:dyDescent="0.25">
      <c r="A114" s="58"/>
      <c r="B114" s="61"/>
      <c r="C114" s="61"/>
      <c r="D114" s="61"/>
      <c r="E114" s="61"/>
    </row>
    <row r="115" spans="1:5" ht="16.8" x14ac:dyDescent="0.25">
      <c r="A115" s="58"/>
      <c r="B115" s="61"/>
      <c r="C115" s="61"/>
      <c r="D115" s="61"/>
      <c r="E115" s="61"/>
    </row>
    <row r="116" spans="1:5" ht="16.8" x14ac:dyDescent="0.25">
      <c r="A116" s="58"/>
      <c r="B116" s="61"/>
      <c r="C116" s="61"/>
      <c r="D116" s="61"/>
      <c r="E116" s="61"/>
    </row>
    <row r="117" spans="1:5" ht="16.8" x14ac:dyDescent="0.25">
      <c r="A117" s="58"/>
      <c r="B117" s="61"/>
      <c r="C117" s="61"/>
      <c r="D117" s="61"/>
      <c r="E117" s="61"/>
    </row>
    <row r="118" spans="1:5" ht="16.8" x14ac:dyDescent="0.25">
      <c r="A118" s="58"/>
      <c r="B118" s="61"/>
      <c r="C118" s="61"/>
      <c r="D118" s="61"/>
      <c r="E118" s="61"/>
    </row>
    <row r="119" spans="1:5" ht="16.8" x14ac:dyDescent="0.25">
      <c r="A119" s="58"/>
      <c r="B119" s="61"/>
      <c r="C119" s="61"/>
      <c r="D119" s="61"/>
      <c r="E119" s="61"/>
    </row>
    <row r="120" spans="1:5" ht="16.8" x14ac:dyDescent="0.25">
      <c r="A120" s="58"/>
      <c r="B120" s="61"/>
      <c r="C120" s="61"/>
      <c r="D120" s="61"/>
      <c r="E120" s="61"/>
    </row>
    <row r="121" spans="1:5" ht="16.8" x14ac:dyDescent="0.25">
      <c r="A121" s="58"/>
      <c r="B121" s="61"/>
      <c r="C121" s="61"/>
      <c r="D121" s="61"/>
      <c r="E121" s="61"/>
    </row>
    <row r="122" spans="1:5" ht="16.8" x14ac:dyDescent="0.25">
      <c r="A122" s="58"/>
      <c r="B122" s="61"/>
      <c r="C122" s="61"/>
      <c r="D122" s="61"/>
      <c r="E122" s="61"/>
    </row>
    <row r="123" spans="1:5" x14ac:dyDescent="0.25">
      <c r="A123" s="35"/>
      <c r="B123" s="35"/>
      <c r="C123" s="35"/>
      <c r="D123" s="35"/>
      <c r="E123" s="35"/>
    </row>
    <row r="124" spans="1:5" x14ac:dyDescent="0.25">
      <c r="A124" s="123"/>
      <c r="B124" s="123"/>
      <c r="C124" s="123"/>
      <c r="D124" s="123"/>
      <c r="E124" s="123"/>
    </row>
    <row r="125" spans="1:5" x14ac:dyDescent="0.25">
      <c r="A125" s="123"/>
      <c r="B125" s="105"/>
      <c r="C125" s="105"/>
      <c r="D125" s="105"/>
      <c r="E125" s="105"/>
    </row>
    <row r="126" spans="1:5" x14ac:dyDescent="0.25">
      <c r="A126" s="123"/>
      <c r="B126" s="105"/>
      <c r="C126" s="105"/>
      <c r="D126" s="105"/>
      <c r="E126" s="105"/>
    </row>
    <row r="127" spans="1:5" x14ac:dyDescent="0.25">
      <c r="A127" s="123"/>
      <c r="B127" s="123"/>
      <c r="C127" s="123"/>
      <c r="D127" s="123"/>
      <c r="E127" s="123"/>
    </row>
    <row r="128" spans="1:5" x14ac:dyDescent="0.25">
      <c r="A128" s="123"/>
      <c r="B128" s="105"/>
      <c r="C128" s="105"/>
      <c r="D128" s="105"/>
      <c r="E128" s="123"/>
    </row>
    <row r="129" spans="1:5" x14ac:dyDescent="0.25">
      <c r="A129" s="123"/>
      <c r="B129" s="105"/>
      <c r="C129" s="105"/>
      <c r="D129" s="105"/>
      <c r="E129" s="105"/>
    </row>
    <row r="130" spans="1:5" x14ac:dyDescent="0.25">
      <c r="A130" s="123"/>
      <c r="B130" s="105"/>
      <c r="C130" s="105"/>
      <c r="D130" s="105"/>
      <c r="E130" s="105"/>
    </row>
    <row r="131" spans="1:5" x14ac:dyDescent="0.25">
      <c r="A131" s="123"/>
      <c r="B131" s="105"/>
      <c r="C131" s="105"/>
      <c r="D131" s="105"/>
      <c r="E131" s="105"/>
    </row>
    <row r="132" spans="1:5" x14ac:dyDescent="0.25">
      <c r="A132" s="123"/>
      <c r="B132" s="105"/>
      <c r="C132" s="105"/>
      <c r="D132" s="105"/>
      <c r="E132" s="105"/>
    </row>
    <row r="133" spans="1:5" x14ac:dyDescent="0.25">
      <c r="A133" s="123"/>
      <c r="B133" s="105"/>
      <c r="C133" s="105"/>
      <c r="D133" s="105"/>
      <c r="E133" s="105"/>
    </row>
    <row r="134" spans="1:5" x14ac:dyDescent="0.25">
      <c r="A134" s="123"/>
      <c r="B134" s="105"/>
      <c r="C134" s="105"/>
      <c r="D134" s="105"/>
      <c r="E134" s="105"/>
    </row>
    <row r="135" spans="1:5" x14ac:dyDescent="0.25">
      <c r="A135" s="123"/>
      <c r="B135" s="105"/>
      <c r="C135" s="105"/>
      <c r="D135" s="105"/>
      <c r="E135" s="105"/>
    </row>
    <row r="136" spans="1:5" x14ac:dyDescent="0.25">
      <c r="A136" s="123"/>
      <c r="B136" s="105"/>
      <c r="C136" s="105"/>
      <c r="D136" s="105"/>
      <c r="E136" s="105"/>
    </row>
    <row r="137" spans="1:5" x14ac:dyDescent="0.25">
      <c r="A137" s="123"/>
      <c r="B137" s="105"/>
      <c r="C137" s="123"/>
      <c r="D137" s="105"/>
      <c r="E137" s="105"/>
    </row>
    <row r="138" spans="1:5" x14ac:dyDescent="0.25">
      <c r="A138" s="123"/>
      <c r="B138" s="105"/>
      <c r="C138" s="105"/>
      <c r="D138" s="105"/>
      <c r="E138" s="105"/>
    </row>
    <row r="139" spans="1:5" x14ac:dyDescent="0.25">
      <c r="A139" s="123"/>
      <c r="B139" s="105"/>
      <c r="C139" s="105"/>
      <c r="D139" s="105"/>
      <c r="E139" s="105"/>
    </row>
    <row r="140" spans="1:5" x14ac:dyDescent="0.25">
      <c r="A140" s="123"/>
      <c r="B140" s="123"/>
      <c r="C140" s="123"/>
      <c r="D140" s="123"/>
      <c r="E140" s="123"/>
    </row>
    <row r="141" spans="1:5" x14ac:dyDescent="0.25">
      <c r="A141" s="123"/>
      <c r="B141" s="105"/>
      <c r="C141" s="105"/>
      <c r="D141" s="105"/>
      <c r="E141" s="105"/>
    </row>
    <row r="142" spans="1:5" x14ac:dyDescent="0.25">
      <c r="A142" s="123"/>
      <c r="B142" s="105"/>
      <c r="C142" s="105"/>
      <c r="D142" s="105"/>
      <c r="E142" s="105"/>
    </row>
    <row r="143" spans="1:5" x14ac:dyDescent="0.25">
      <c r="A143" s="123"/>
      <c r="B143" s="105"/>
      <c r="C143" s="105"/>
      <c r="D143" s="105"/>
      <c r="E143" s="105"/>
    </row>
    <row r="145" spans="1:5" x14ac:dyDescent="0.25">
      <c r="A145" s="105"/>
    </row>
    <row r="146" spans="1:5" x14ac:dyDescent="0.25">
      <c r="A146" t="s">
        <v>308</v>
      </c>
      <c r="B146" s="144">
        <v>41820</v>
      </c>
      <c r="C146" s="144">
        <v>41455</v>
      </c>
      <c r="D146" s="144">
        <v>41090</v>
      </c>
      <c r="E146" s="144">
        <v>40724</v>
      </c>
    </row>
    <row r="147" spans="1:5" x14ac:dyDescent="0.25">
      <c r="A147" t="s">
        <v>0</v>
      </c>
      <c r="B147" s="105">
        <v>86833</v>
      </c>
      <c r="C147" s="105">
        <v>77849</v>
      </c>
      <c r="D147" s="105">
        <v>73723</v>
      </c>
      <c r="E147" s="105">
        <v>69943</v>
      </c>
    </row>
    <row r="148" spans="1:5" x14ac:dyDescent="0.25">
      <c r="A148" t="s">
        <v>309</v>
      </c>
      <c r="B148" s="105">
        <v>86833</v>
      </c>
      <c r="C148" s="105">
        <v>77849</v>
      </c>
      <c r="D148" s="105">
        <v>73723</v>
      </c>
      <c r="E148" s="105">
        <v>69943</v>
      </c>
    </row>
    <row r="149" spans="1:5" x14ac:dyDescent="0.25">
      <c r="A149" t="s">
        <v>310</v>
      </c>
      <c r="B149" s="105">
        <v>21722</v>
      </c>
      <c r="C149" s="105">
        <v>16494</v>
      </c>
      <c r="D149" s="105">
        <v>14563</v>
      </c>
      <c r="E149" s="105">
        <v>12811</v>
      </c>
    </row>
    <row r="150" spans="1:5" x14ac:dyDescent="0.25">
      <c r="A150" t="s">
        <v>311</v>
      </c>
      <c r="B150" s="105">
        <v>26934</v>
      </c>
      <c r="C150" s="105">
        <v>20249</v>
      </c>
      <c r="D150" s="105">
        <v>17530</v>
      </c>
      <c r="E150" s="105">
        <v>15577</v>
      </c>
    </row>
    <row r="151" spans="1:5" x14ac:dyDescent="0.25">
      <c r="A151" t="s">
        <v>312</v>
      </c>
      <c r="B151" s="105">
        <v>65111</v>
      </c>
      <c r="C151" s="105">
        <v>61355</v>
      </c>
      <c r="D151" s="105">
        <v>59160</v>
      </c>
      <c r="E151" s="105">
        <v>57132</v>
      </c>
    </row>
    <row r="152" spans="1:5" x14ac:dyDescent="0.25">
      <c r="A152" t="s">
        <v>449</v>
      </c>
      <c r="B152" s="105">
        <v>11381</v>
      </c>
      <c r="C152" s="105">
        <v>10411</v>
      </c>
      <c r="D152" s="105">
        <v>9811</v>
      </c>
      <c r="E152" s="105">
        <v>9043</v>
      </c>
    </row>
    <row r="153" spans="1:5" x14ac:dyDescent="0.25">
      <c r="A153" t="s">
        <v>313</v>
      </c>
      <c r="B153" s="105">
        <v>20632</v>
      </c>
      <c r="C153" s="105">
        <v>20425</v>
      </c>
      <c r="D153" s="105">
        <v>18426</v>
      </c>
      <c r="E153" s="105">
        <v>18162</v>
      </c>
    </row>
    <row r="154" spans="1:5" x14ac:dyDescent="0.25">
      <c r="A154" t="s">
        <v>314</v>
      </c>
      <c r="B154" s="105">
        <v>33098</v>
      </c>
      <c r="C154" s="105">
        <v>30519</v>
      </c>
      <c r="D154" s="105">
        <v>30923</v>
      </c>
      <c r="E154" s="105">
        <v>29927</v>
      </c>
    </row>
    <row r="155" spans="1:5" x14ac:dyDescent="0.25">
      <c r="A155" t="s">
        <v>315</v>
      </c>
      <c r="B155" s="105">
        <v>5212</v>
      </c>
      <c r="C155" s="105">
        <v>3755</v>
      </c>
      <c r="D155" s="105">
        <v>2967</v>
      </c>
      <c r="E155" s="105">
        <v>2766</v>
      </c>
    </row>
    <row r="156" spans="1:5" x14ac:dyDescent="0.25">
      <c r="A156" t="s">
        <v>316</v>
      </c>
      <c r="B156" s="105">
        <v>27886</v>
      </c>
      <c r="C156" s="105">
        <v>26764</v>
      </c>
      <c r="D156" s="105">
        <v>27956</v>
      </c>
      <c r="E156" s="105">
        <v>27161</v>
      </c>
    </row>
    <row r="157" spans="1:5" x14ac:dyDescent="0.25">
      <c r="A157" t="s">
        <v>317</v>
      </c>
      <c r="B157">
        <v>883</v>
      </c>
      <c r="C157">
        <v>677</v>
      </c>
      <c r="D157">
        <v>800</v>
      </c>
      <c r="E157">
        <v>900</v>
      </c>
    </row>
    <row r="158" spans="1:5" x14ac:dyDescent="0.25">
      <c r="A158" t="s">
        <v>318</v>
      </c>
      <c r="B158">
        <v>-225</v>
      </c>
      <c r="C158">
        <v>40</v>
      </c>
      <c r="D158">
        <v>84</v>
      </c>
      <c r="E158">
        <v>305</v>
      </c>
    </row>
    <row r="159" spans="1:5" x14ac:dyDescent="0.25">
      <c r="A159" t="s">
        <v>451</v>
      </c>
      <c r="B159">
        <v>-127</v>
      </c>
      <c r="C159">
        <v>0</v>
      </c>
      <c r="D159">
        <v>0</v>
      </c>
      <c r="E159">
        <v>0</v>
      </c>
    </row>
    <row r="160" spans="1:5" x14ac:dyDescent="0.25">
      <c r="A160" t="s">
        <v>450</v>
      </c>
      <c r="B160">
        <v>-127</v>
      </c>
      <c r="C160">
        <v>0</v>
      </c>
      <c r="D160" s="105">
        <v>-6193</v>
      </c>
      <c r="E160">
        <v>0</v>
      </c>
    </row>
    <row r="161" spans="1:5" x14ac:dyDescent="0.25">
      <c r="A161" t="s">
        <v>424</v>
      </c>
      <c r="B161">
        <v>0</v>
      </c>
      <c r="C161">
        <v>0</v>
      </c>
      <c r="D161" s="105">
        <v>-6193</v>
      </c>
      <c r="E161">
        <v>0</v>
      </c>
    </row>
    <row r="162" spans="1:5" x14ac:dyDescent="0.25">
      <c r="A162" t="s">
        <v>319</v>
      </c>
      <c r="B162" s="105">
        <v>28417</v>
      </c>
      <c r="C162" s="105">
        <v>27481</v>
      </c>
      <c r="D162" s="105">
        <v>22647</v>
      </c>
      <c r="E162" s="105">
        <v>28366</v>
      </c>
    </row>
    <row r="163" spans="1:5" x14ac:dyDescent="0.25">
      <c r="A163" t="s">
        <v>254</v>
      </c>
      <c r="B163">
        <v>597</v>
      </c>
      <c r="C163">
        <v>429</v>
      </c>
      <c r="D163">
        <v>380</v>
      </c>
      <c r="E163">
        <v>295</v>
      </c>
    </row>
    <row r="164" spans="1:5" x14ac:dyDescent="0.25">
      <c r="A164" t="s">
        <v>320</v>
      </c>
      <c r="B164" s="105">
        <v>27820</v>
      </c>
      <c r="C164" s="105">
        <v>27052</v>
      </c>
      <c r="D164" s="105">
        <v>22267</v>
      </c>
      <c r="E164" s="105">
        <v>28071</v>
      </c>
    </row>
    <row r="165" spans="1:5" x14ac:dyDescent="0.25">
      <c r="A165" t="s">
        <v>321</v>
      </c>
      <c r="B165" s="105">
        <v>5746</v>
      </c>
      <c r="C165" s="105">
        <v>5189</v>
      </c>
      <c r="D165" s="105">
        <v>5289</v>
      </c>
      <c r="E165" s="105">
        <v>4921</v>
      </c>
    </row>
    <row r="166" spans="1:5" x14ac:dyDescent="0.25">
      <c r="A166" t="s">
        <v>322</v>
      </c>
      <c r="B166" s="105">
        <v>22074</v>
      </c>
      <c r="C166" s="105">
        <v>21863</v>
      </c>
      <c r="D166" s="105">
        <v>16978</v>
      </c>
      <c r="E166" s="105">
        <v>23150</v>
      </c>
    </row>
    <row r="167" spans="1:5" x14ac:dyDescent="0.25">
      <c r="A167" t="s">
        <v>323</v>
      </c>
      <c r="B167" s="105">
        <v>22074</v>
      </c>
      <c r="C167" s="105">
        <v>21863</v>
      </c>
      <c r="D167" s="105">
        <v>16978</v>
      </c>
      <c r="E167" s="105">
        <v>23150</v>
      </c>
    </row>
    <row r="168" spans="1:5" x14ac:dyDescent="0.25">
      <c r="A168" t="s">
        <v>324</v>
      </c>
      <c r="B168" s="105">
        <v>22074</v>
      </c>
      <c r="C168" s="105">
        <v>21863</v>
      </c>
      <c r="D168" s="105">
        <v>16978</v>
      </c>
      <c r="E168" s="105">
        <v>23150</v>
      </c>
    </row>
    <row r="170" spans="1:5" x14ac:dyDescent="0.25">
      <c r="A170" s="123"/>
      <c r="B170" s="123"/>
      <c r="C170" s="123"/>
      <c r="D170" s="105"/>
      <c r="E170" s="105"/>
    </row>
    <row r="171" spans="1:5" x14ac:dyDescent="0.25">
      <c r="A171" s="123" t="s">
        <v>405</v>
      </c>
      <c r="B171">
        <v>8399</v>
      </c>
      <c r="C171">
        <v>8470</v>
      </c>
      <c r="D171">
        <v>8506</v>
      </c>
      <c r="E171">
        <v>8593</v>
      </c>
    </row>
    <row r="172" spans="1:5" x14ac:dyDescent="0.25">
      <c r="A172" s="123" t="s">
        <v>421</v>
      </c>
      <c r="B172">
        <v>1.07</v>
      </c>
      <c r="C172">
        <v>1.07</v>
      </c>
      <c r="D172">
        <v>0.89</v>
      </c>
      <c r="E172">
        <v>0.89</v>
      </c>
    </row>
    <row r="173" spans="1:5" x14ac:dyDescent="0.25">
      <c r="A173" s="123"/>
      <c r="B173" s="105"/>
      <c r="C173" s="105"/>
      <c r="D173" s="105"/>
      <c r="E173" s="105"/>
    </row>
    <row r="174" spans="1:5" x14ac:dyDescent="0.25">
      <c r="A174" s="123"/>
      <c r="B174" s="105"/>
      <c r="C174" s="105"/>
      <c r="D174" s="105"/>
      <c r="E174" s="105"/>
    </row>
    <row r="175" spans="1:5" x14ac:dyDescent="0.25">
      <c r="A175" s="123"/>
      <c r="B175" s="123"/>
      <c r="C175" s="123"/>
      <c r="D175" s="123"/>
      <c r="E175" s="123"/>
    </row>
    <row r="176" spans="1:5" x14ac:dyDescent="0.25">
      <c r="A176" s="123"/>
      <c r="B176" s="123"/>
      <c r="C176" s="123"/>
      <c r="D176" s="123"/>
      <c r="E176" s="123"/>
    </row>
    <row r="177" spans="1:5" x14ac:dyDescent="0.25">
      <c r="A177" s="123"/>
      <c r="B177" s="105"/>
      <c r="C177" s="105"/>
      <c r="D177" s="105"/>
      <c r="E177" s="105"/>
    </row>
    <row r="178" spans="1:5" x14ac:dyDescent="0.25">
      <c r="A178" s="123"/>
      <c r="B178" s="105"/>
      <c r="C178" s="105"/>
      <c r="D178" s="105"/>
      <c r="E178" s="123"/>
    </row>
    <row r="179" spans="1:5" x14ac:dyDescent="0.25">
      <c r="A179" s="123"/>
      <c r="B179" s="105"/>
      <c r="C179" s="105"/>
      <c r="D179" s="105"/>
      <c r="E179" s="105"/>
    </row>
    <row r="180" spans="1:5" x14ac:dyDescent="0.25">
      <c r="A180" s="123"/>
      <c r="B180" s="123"/>
      <c r="C180" s="123"/>
      <c r="D180" s="123"/>
      <c r="E180" s="123"/>
    </row>
    <row r="181" spans="1:5" x14ac:dyDescent="0.25">
      <c r="A181" s="123"/>
      <c r="B181" s="123"/>
      <c r="C181" s="123"/>
      <c r="D181" s="123"/>
      <c r="E181" s="123"/>
    </row>
    <row r="182" spans="1:5" x14ac:dyDescent="0.25">
      <c r="A182" s="123"/>
      <c r="B182" s="123"/>
      <c r="C182" s="123"/>
      <c r="D182" s="123"/>
      <c r="E182" s="123"/>
    </row>
    <row r="183" spans="1:5" x14ac:dyDescent="0.25">
      <c r="A183" s="123"/>
      <c r="B183" s="123"/>
      <c r="C183" s="123"/>
      <c r="D183" s="123"/>
      <c r="E183" s="123"/>
    </row>
    <row r="184" spans="1:5" x14ac:dyDescent="0.25">
      <c r="A184" s="123"/>
      <c r="B184" s="123"/>
      <c r="C184" s="123"/>
      <c r="D184" s="123"/>
      <c r="E184" s="123"/>
    </row>
    <row r="185" spans="1:5" x14ac:dyDescent="0.25">
      <c r="A185" s="123"/>
      <c r="B185" s="105"/>
      <c r="C185" s="105"/>
      <c r="D185" s="105"/>
      <c r="E185" s="105"/>
    </row>
    <row r="186" spans="1:5" x14ac:dyDescent="0.25">
      <c r="A186" s="123"/>
      <c r="B186" s="123"/>
      <c r="C186" s="123"/>
      <c r="D186" s="123"/>
      <c r="E186" s="123"/>
    </row>
    <row r="187" spans="1:5" x14ac:dyDescent="0.25">
      <c r="A187" s="123"/>
      <c r="B187" s="105"/>
      <c r="C187" s="105"/>
      <c r="D187" s="105"/>
      <c r="E187" s="105"/>
    </row>
    <row r="188" spans="1:5" x14ac:dyDescent="0.25">
      <c r="A188" s="123"/>
      <c r="B188" s="105"/>
      <c r="C188" s="105"/>
      <c r="D188" s="105"/>
      <c r="E188" s="105"/>
    </row>
    <row r="189" spans="1:5" x14ac:dyDescent="0.25">
      <c r="A189" s="123"/>
      <c r="B189" s="123"/>
      <c r="C189" s="123"/>
      <c r="D189" s="123"/>
      <c r="E189" s="123"/>
    </row>
    <row r="190" spans="1:5" x14ac:dyDescent="0.25">
      <c r="A190" s="123"/>
      <c r="B190" s="123"/>
      <c r="C190" s="123"/>
      <c r="D190" s="123"/>
      <c r="E190" s="123"/>
    </row>
    <row r="191" spans="1:5" x14ac:dyDescent="0.25">
      <c r="A191" s="123"/>
      <c r="B191" s="123"/>
      <c r="C191" s="123"/>
      <c r="D191" s="123"/>
      <c r="E191" s="123"/>
    </row>
    <row r="192" spans="1:5" x14ac:dyDescent="0.25">
      <c r="A192" s="123"/>
      <c r="B192" s="123"/>
      <c r="C192" s="123"/>
      <c r="D192" s="123"/>
      <c r="E192" s="123"/>
    </row>
    <row r="193" spans="1:5" x14ac:dyDescent="0.25">
      <c r="A193" s="123"/>
      <c r="B193" s="123"/>
      <c r="C193" s="123"/>
      <c r="D193" s="123"/>
      <c r="E193" s="123"/>
    </row>
    <row r="194" spans="1:5" x14ac:dyDescent="0.25">
      <c r="A194" s="123"/>
      <c r="B194" s="123"/>
      <c r="C194" s="123"/>
      <c r="D194" s="123"/>
      <c r="E194" s="123"/>
    </row>
    <row r="195" spans="1:5" x14ac:dyDescent="0.25">
      <c r="A195" s="123"/>
      <c r="B195" s="123"/>
      <c r="C195" s="123"/>
      <c r="D195" s="123"/>
      <c r="E195" s="123"/>
    </row>
    <row r="196" spans="1:5" x14ac:dyDescent="0.25">
      <c r="A196" s="123"/>
      <c r="B196" s="123"/>
      <c r="C196" s="123"/>
      <c r="D196" s="123"/>
      <c r="E196" s="123"/>
    </row>
    <row r="197" spans="1:5" x14ac:dyDescent="0.25">
      <c r="A197" s="123"/>
      <c r="B197" s="123"/>
      <c r="C197" s="123"/>
      <c r="D197" s="123"/>
      <c r="E197" s="123"/>
    </row>
    <row r="198" spans="1:5" x14ac:dyDescent="0.25">
      <c r="A198" s="123"/>
      <c r="B198" s="123"/>
      <c r="C198" s="123"/>
      <c r="D198" s="123"/>
      <c r="E198" s="123"/>
    </row>
    <row r="199" spans="1:5" x14ac:dyDescent="0.25">
      <c r="A199" s="123"/>
      <c r="B199" s="123"/>
      <c r="C199" s="123"/>
      <c r="D199" s="123"/>
      <c r="E199" s="123"/>
    </row>
    <row r="200" spans="1:5" x14ac:dyDescent="0.25">
      <c r="A200" s="123"/>
      <c r="B200" s="123"/>
      <c r="C200" s="123"/>
      <c r="D200" s="123"/>
      <c r="E200" s="123"/>
    </row>
    <row r="201" spans="1:5" x14ac:dyDescent="0.25">
      <c r="A201" s="123"/>
      <c r="B201" s="123"/>
      <c r="C201" s="123"/>
      <c r="D201" s="123"/>
      <c r="E201" s="123"/>
    </row>
    <row r="202" spans="1:5" x14ac:dyDescent="0.25">
      <c r="A202" s="123"/>
      <c r="B202" s="123"/>
      <c r="C202" s="123"/>
      <c r="D202" s="123"/>
      <c r="E202" s="123"/>
    </row>
    <row r="203" spans="1:5" x14ac:dyDescent="0.25">
      <c r="A203" s="123"/>
      <c r="B203" s="123"/>
      <c r="C203" s="123"/>
      <c r="D203" s="123"/>
      <c r="E203" s="123"/>
    </row>
    <row r="204" spans="1:5" x14ac:dyDescent="0.25">
      <c r="A204" s="123"/>
      <c r="B204" s="123"/>
      <c r="C204" s="123"/>
      <c r="D204" s="123"/>
      <c r="E204" s="123"/>
    </row>
    <row r="205" spans="1:5" x14ac:dyDescent="0.25">
      <c r="A205" s="123"/>
      <c r="B205" s="123"/>
      <c r="C205" s="123"/>
      <c r="D205" s="123"/>
      <c r="E205" s="123"/>
    </row>
    <row r="206" spans="1:5" x14ac:dyDescent="0.25">
      <c r="A206" s="123"/>
      <c r="B206" s="123"/>
      <c r="C206" s="123"/>
      <c r="D206" s="123"/>
      <c r="E206" s="123"/>
    </row>
    <row r="207" spans="1:5" x14ac:dyDescent="0.25">
      <c r="A207" s="123"/>
      <c r="B207" s="123"/>
      <c r="C207" s="123"/>
      <c r="D207" s="123"/>
      <c r="E207" s="123"/>
    </row>
    <row r="208" spans="1:5" x14ac:dyDescent="0.25">
      <c r="A208" s="123"/>
      <c r="B208" s="123"/>
      <c r="C208" s="123"/>
      <c r="D208" s="123"/>
      <c r="E208" s="123"/>
    </row>
    <row r="209" spans="1:5" x14ac:dyDescent="0.25">
      <c r="A209" s="123"/>
      <c r="B209" s="123"/>
      <c r="C209" s="123"/>
      <c r="D209" s="123"/>
      <c r="E209" s="123"/>
    </row>
    <row r="210" spans="1:5" x14ac:dyDescent="0.25">
      <c r="A210" s="123"/>
      <c r="B210" s="123"/>
      <c r="C210" s="123"/>
      <c r="D210" s="123"/>
      <c r="E210" s="123"/>
    </row>
    <row r="211" spans="1:5" x14ac:dyDescent="0.25">
      <c r="A211" s="123"/>
      <c r="B211" s="123"/>
      <c r="C211" s="123"/>
      <c r="D211" s="123"/>
      <c r="E211" s="123"/>
    </row>
    <row r="212" spans="1:5" x14ac:dyDescent="0.25">
      <c r="A212" s="123"/>
      <c r="B212" s="105"/>
      <c r="C212" s="105"/>
      <c r="D212" s="105"/>
      <c r="E212" s="105"/>
    </row>
    <row r="213" spans="1:5" x14ac:dyDescent="0.25">
      <c r="A213" s="123"/>
      <c r="B213" s="105"/>
      <c r="C213" s="105"/>
      <c r="D213" s="105"/>
      <c r="E213" s="105"/>
    </row>
    <row r="215" spans="1:5" hidden="1" x14ac:dyDescent="0.25"/>
    <row r="216" spans="1:5" hidden="1" x14ac:dyDescent="0.25"/>
    <row r="217" spans="1:5" hidden="1" x14ac:dyDescent="0.25"/>
    <row r="218" spans="1:5" hidden="1" x14ac:dyDescent="0.25"/>
    <row r="219" spans="1:5" hidden="1" x14ac:dyDescent="0.25"/>
    <row r="220" spans="1:5" hidden="1" x14ac:dyDescent="0.25"/>
    <row r="221" spans="1:5" hidden="1" x14ac:dyDescent="0.25"/>
    <row r="222" spans="1:5" hidden="1" x14ac:dyDescent="0.25"/>
    <row r="223" spans="1:5" hidden="1" x14ac:dyDescent="0.25"/>
    <row r="224" spans="1:5"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spans="1:5" hidden="1" x14ac:dyDescent="0.25"/>
    <row r="242" spans="1:5" hidden="1" x14ac:dyDescent="0.25"/>
    <row r="243" spans="1:5" hidden="1" x14ac:dyDescent="0.25">
      <c r="B243" s="124"/>
    </row>
    <row r="244" spans="1:5" hidden="1" x14ac:dyDescent="0.25"/>
    <row r="245" spans="1:5" hidden="1" x14ac:dyDescent="0.25"/>
    <row r="246" spans="1:5" x14ac:dyDescent="0.25">
      <c r="A246" t="s">
        <v>308</v>
      </c>
      <c r="B246" s="144">
        <v>41820</v>
      </c>
      <c r="C246" s="144">
        <v>41455</v>
      </c>
      <c r="D246" s="144">
        <v>41090</v>
      </c>
      <c r="E246" s="144">
        <v>40724</v>
      </c>
    </row>
    <row r="247" spans="1:5" x14ac:dyDescent="0.25">
      <c r="A247" t="s">
        <v>325</v>
      </c>
      <c r="B247" s="105">
        <v>8669</v>
      </c>
      <c r="C247" s="105">
        <v>3804</v>
      </c>
      <c r="D247" s="105">
        <v>6938</v>
      </c>
      <c r="E247" s="105">
        <v>9610</v>
      </c>
    </row>
    <row r="248" spans="1:5" x14ac:dyDescent="0.25">
      <c r="A248" t="s">
        <v>326</v>
      </c>
      <c r="B248" s="105">
        <v>77040</v>
      </c>
      <c r="C248" s="105">
        <v>73218</v>
      </c>
      <c r="D248" s="105">
        <v>56102</v>
      </c>
      <c r="E248" s="105">
        <v>43162</v>
      </c>
    </row>
    <row r="249" spans="1:5" x14ac:dyDescent="0.25">
      <c r="A249" t="s">
        <v>13</v>
      </c>
      <c r="B249" s="105">
        <v>19544</v>
      </c>
      <c r="C249" s="105">
        <v>17486</v>
      </c>
      <c r="D249" s="105">
        <v>15780</v>
      </c>
      <c r="E249" s="105">
        <v>14987</v>
      </c>
    </row>
    <row r="250" spans="1:5" x14ac:dyDescent="0.25">
      <c r="A250" t="s">
        <v>327</v>
      </c>
      <c r="B250" s="105">
        <v>19544</v>
      </c>
      <c r="C250" s="105">
        <v>17486</v>
      </c>
      <c r="D250" s="105">
        <v>15780</v>
      </c>
      <c r="E250" s="105">
        <v>14987</v>
      </c>
    </row>
    <row r="251" spans="1:5" x14ac:dyDescent="0.25">
      <c r="A251" t="s">
        <v>328</v>
      </c>
      <c r="B251">
        <v>944</v>
      </c>
      <c r="C251">
        <v>328</v>
      </c>
      <c r="D251">
        <v>210</v>
      </c>
      <c r="E251">
        <v>232</v>
      </c>
    </row>
    <row r="252" spans="1:5" x14ac:dyDescent="0.25">
      <c r="A252" t="s">
        <v>329</v>
      </c>
      <c r="B252">
        <v>266</v>
      </c>
      <c r="C252">
        <v>201</v>
      </c>
      <c r="D252">
        <v>96</v>
      </c>
      <c r="E252">
        <v>56</v>
      </c>
    </row>
    <row r="253" spans="1:5" x14ac:dyDescent="0.25">
      <c r="A253" t="s">
        <v>330</v>
      </c>
      <c r="B253" s="105">
        <v>1450</v>
      </c>
      <c r="C253" s="105">
        <v>1409</v>
      </c>
      <c r="D253">
        <v>831</v>
      </c>
      <c r="E253" s="105">
        <v>1084</v>
      </c>
    </row>
    <row r="254" spans="1:5" x14ac:dyDescent="0.25">
      <c r="A254" t="s">
        <v>331</v>
      </c>
      <c r="B254" s="105">
        <v>2660</v>
      </c>
      <c r="C254" s="105">
        <v>1938</v>
      </c>
      <c r="D254" s="105">
        <v>1137</v>
      </c>
      <c r="E254" s="105">
        <v>1372</v>
      </c>
    </row>
    <row r="255" spans="1:5" x14ac:dyDescent="0.25">
      <c r="A255" t="s">
        <v>332</v>
      </c>
      <c r="B255" s="105">
        <v>1941</v>
      </c>
      <c r="C255" s="105">
        <v>1632</v>
      </c>
      <c r="D255" s="105">
        <v>2035</v>
      </c>
      <c r="E255" s="105">
        <v>2467</v>
      </c>
    </row>
    <row r="256" spans="1:5" x14ac:dyDescent="0.25">
      <c r="A256" t="s">
        <v>119</v>
      </c>
      <c r="B256" s="105">
        <v>4392</v>
      </c>
      <c r="C256" s="105">
        <v>3388</v>
      </c>
      <c r="D256" s="105">
        <v>3092</v>
      </c>
      <c r="E256" s="105">
        <v>3320</v>
      </c>
    </row>
    <row r="257" spans="1:5" x14ac:dyDescent="0.25">
      <c r="A257" t="s">
        <v>91</v>
      </c>
      <c r="B257" s="105">
        <v>114246</v>
      </c>
      <c r="C257" s="105">
        <v>101466</v>
      </c>
      <c r="D257" s="105">
        <v>85084</v>
      </c>
      <c r="E257" s="105">
        <v>74918</v>
      </c>
    </row>
    <row r="258" spans="1:5" x14ac:dyDescent="0.25">
      <c r="A258" t="s">
        <v>333</v>
      </c>
      <c r="B258">
        <v>541</v>
      </c>
      <c r="C258">
        <v>525</v>
      </c>
      <c r="D258">
        <v>528</v>
      </c>
      <c r="E258">
        <v>533</v>
      </c>
    </row>
    <row r="259" spans="1:5" x14ac:dyDescent="0.25">
      <c r="A259" t="s">
        <v>334</v>
      </c>
      <c r="B259" s="105">
        <v>12427</v>
      </c>
      <c r="C259" s="105">
        <v>10272</v>
      </c>
      <c r="D259" s="105">
        <v>9318</v>
      </c>
      <c r="E259" s="105">
        <v>8866</v>
      </c>
    </row>
    <row r="260" spans="1:5" x14ac:dyDescent="0.25">
      <c r="A260" t="s">
        <v>335</v>
      </c>
      <c r="B260" s="105">
        <v>14836</v>
      </c>
      <c r="C260" s="105">
        <v>11707</v>
      </c>
      <c r="D260" s="105">
        <v>9385</v>
      </c>
      <c r="E260" s="105">
        <v>8592</v>
      </c>
    </row>
    <row r="261" spans="1:5" x14ac:dyDescent="0.25">
      <c r="A261" t="s">
        <v>336</v>
      </c>
      <c r="B261" s="105">
        <v>27804</v>
      </c>
      <c r="C261" s="105">
        <v>22504</v>
      </c>
      <c r="D261" s="105">
        <v>19231</v>
      </c>
      <c r="E261" s="105">
        <v>17991</v>
      </c>
    </row>
    <row r="262" spans="1:5" x14ac:dyDescent="0.25">
      <c r="A262" t="s">
        <v>337</v>
      </c>
      <c r="B262" s="105">
        <v>27804</v>
      </c>
      <c r="C262" s="105">
        <v>22504</v>
      </c>
      <c r="D262" s="105">
        <v>19231</v>
      </c>
      <c r="E262" s="105">
        <v>17991</v>
      </c>
    </row>
    <row r="263" spans="1:5" x14ac:dyDescent="0.25">
      <c r="A263" t="s">
        <v>338</v>
      </c>
      <c r="B263" s="105">
        <v>14793</v>
      </c>
      <c r="C263" s="105">
        <v>12513</v>
      </c>
      <c r="D263" s="105">
        <v>10962</v>
      </c>
      <c r="E263" s="105">
        <v>9829</v>
      </c>
    </row>
    <row r="264" spans="1:5" x14ac:dyDescent="0.25">
      <c r="A264" t="s">
        <v>339</v>
      </c>
      <c r="B264" s="105">
        <v>13011</v>
      </c>
      <c r="C264" s="105">
        <v>9991</v>
      </c>
      <c r="D264" s="105">
        <v>8269</v>
      </c>
      <c r="E264" s="105">
        <v>8162</v>
      </c>
    </row>
    <row r="265" spans="1:5" x14ac:dyDescent="0.25">
      <c r="A265" t="s">
        <v>340</v>
      </c>
      <c r="B265" s="105">
        <v>6981</v>
      </c>
      <c r="C265" s="105">
        <v>3083</v>
      </c>
      <c r="D265" s="105">
        <v>3170</v>
      </c>
      <c r="E265">
        <v>744</v>
      </c>
    </row>
    <row r="266" spans="1:5" x14ac:dyDescent="0.25">
      <c r="A266" t="s">
        <v>341</v>
      </c>
      <c r="B266" s="105">
        <v>20127</v>
      </c>
      <c r="C266" s="105">
        <v>14655</v>
      </c>
      <c r="D266" s="105">
        <v>13452</v>
      </c>
      <c r="E266" s="105">
        <v>12581</v>
      </c>
    </row>
    <row r="267" spans="1:5" x14ac:dyDescent="0.25">
      <c r="A267" t="s">
        <v>343</v>
      </c>
      <c r="B267" s="105">
        <v>18019</v>
      </c>
      <c r="C267" s="105">
        <v>13236</v>
      </c>
      <c r="D267" s="105">
        <v>11296</v>
      </c>
      <c r="E267" s="105">
        <v>12299</v>
      </c>
    </row>
    <row r="268" spans="1:5" x14ac:dyDescent="0.25">
      <c r="A268" t="s">
        <v>344</v>
      </c>
      <c r="B268" s="105">
        <v>58138</v>
      </c>
      <c r="C268" s="105">
        <v>40965</v>
      </c>
      <c r="D268" s="105">
        <v>36187</v>
      </c>
      <c r="E268" s="105">
        <v>33786</v>
      </c>
    </row>
    <row r="269" spans="1:5" x14ac:dyDescent="0.25">
      <c r="A269" t="s">
        <v>66</v>
      </c>
      <c r="B269" s="105">
        <v>172384</v>
      </c>
      <c r="C269" s="105">
        <v>142431</v>
      </c>
      <c r="D269" s="105">
        <v>121271</v>
      </c>
      <c r="E269" s="105">
        <v>108704</v>
      </c>
    </row>
    <row r="270" spans="1:5" x14ac:dyDescent="0.25">
      <c r="A270" t="s">
        <v>14</v>
      </c>
      <c r="B270" s="105">
        <v>7990</v>
      </c>
      <c r="C270" s="105">
        <v>5473</v>
      </c>
      <c r="D270" s="105">
        <v>4989</v>
      </c>
      <c r="E270" s="105">
        <v>5405</v>
      </c>
    </row>
    <row r="271" spans="1:5" x14ac:dyDescent="0.25">
      <c r="A271" t="s">
        <v>345</v>
      </c>
      <c r="B271" s="105">
        <v>2000</v>
      </c>
      <c r="C271" s="105">
        <v>2999</v>
      </c>
      <c r="D271" s="105">
        <v>1231</v>
      </c>
      <c r="E271">
        <v>0</v>
      </c>
    </row>
    <row r="272" spans="1:5" x14ac:dyDescent="0.25">
      <c r="A272" t="s">
        <v>346</v>
      </c>
      <c r="B272" s="105">
        <v>4797</v>
      </c>
      <c r="C272" s="105">
        <v>4117</v>
      </c>
      <c r="D272" s="105">
        <v>3875</v>
      </c>
      <c r="E272" s="105">
        <v>3575</v>
      </c>
    </row>
    <row r="273" spans="1:5" x14ac:dyDescent="0.25">
      <c r="A273" t="s">
        <v>406</v>
      </c>
      <c r="B273" s="105">
        <v>23150</v>
      </c>
      <c r="C273" s="105">
        <v>20639</v>
      </c>
      <c r="D273" s="105">
        <v>18653</v>
      </c>
      <c r="E273" s="105">
        <v>15722</v>
      </c>
    </row>
    <row r="274" spans="1:5" x14ac:dyDescent="0.25">
      <c r="A274" t="s">
        <v>120</v>
      </c>
      <c r="B274" s="105">
        <v>7688</v>
      </c>
      <c r="C274" s="105">
        <v>4189</v>
      </c>
      <c r="D274" s="105">
        <v>3940</v>
      </c>
      <c r="E274" s="105">
        <v>4072</v>
      </c>
    </row>
    <row r="275" spans="1:5" x14ac:dyDescent="0.25">
      <c r="A275" t="s">
        <v>95</v>
      </c>
      <c r="B275" s="105">
        <v>45625</v>
      </c>
      <c r="C275" s="105">
        <v>37417</v>
      </c>
      <c r="D275" s="105">
        <v>32688</v>
      </c>
      <c r="E275" s="105">
        <v>28774</v>
      </c>
    </row>
    <row r="276" spans="1:5" x14ac:dyDescent="0.25">
      <c r="A276" t="s">
        <v>347</v>
      </c>
      <c r="B276" s="105">
        <v>20645</v>
      </c>
      <c r="C276" s="105">
        <v>12601</v>
      </c>
      <c r="D276" s="105">
        <v>10713</v>
      </c>
      <c r="E276" s="105">
        <v>11921</v>
      </c>
    </row>
    <row r="277" spans="1:5" x14ac:dyDescent="0.25">
      <c r="A277" t="s">
        <v>348</v>
      </c>
      <c r="B277" s="105">
        <v>2728</v>
      </c>
      <c r="C277" s="105">
        <v>1709</v>
      </c>
      <c r="D277" s="105">
        <v>1893</v>
      </c>
      <c r="E277" s="105">
        <v>1456</v>
      </c>
    </row>
    <row r="278" spans="1:5" x14ac:dyDescent="0.25">
      <c r="A278" t="s">
        <v>349</v>
      </c>
      <c r="B278" s="105">
        <v>13602</v>
      </c>
      <c r="C278" s="105">
        <v>11760</v>
      </c>
      <c r="D278" s="105">
        <v>9614</v>
      </c>
      <c r="E278" s="105">
        <v>9470</v>
      </c>
    </row>
    <row r="279" spans="1:5" x14ac:dyDescent="0.25">
      <c r="A279" t="s">
        <v>351</v>
      </c>
      <c r="B279" s="105">
        <v>36975</v>
      </c>
      <c r="C279" s="105">
        <v>26070</v>
      </c>
      <c r="D279" s="105">
        <v>22220</v>
      </c>
      <c r="E279" s="105">
        <v>22847</v>
      </c>
    </row>
    <row r="280" spans="1:5" x14ac:dyDescent="0.25">
      <c r="A280" t="s">
        <v>96</v>
      </c>
      <c r="B280" s="105">
        <v>82600</v>
      </c>
      <c r="C280" s="105">
        <v>63487</v>
      </c>
      <c r="D280" s="105">
        <v>54908</v>
      </c>
      <c r="E280" s="105">
        <v>51621</v>
      </c>
    </row>
    <row r="281" spans="1:5" x14ac:dyDescent="0.25">
      <c r="A281" t="s">
        <v>352</v>
      </c>
      <c r="B281" s="105">
        <v>89784</v>
      </c>
      <c r="C281" s="105">
        <v>78944</v>
      </c>
      <c r="D281" s="105">
        <v>66363</v>
      </c>
      <c r="E281" s="105">
        <v>57083</v>
      </c>
    </row>
    <row r="282" spans="1:5" x14ac:dyDescent="0.25">
      <c r="A282" t="s">
        <v>353</v>
      </c>
      <c r="B282" s="105">
        <v>68366</v>
      </c>
      <c r="C282" s="105">
        <v>67306</v>
      </c>
      <c r="D282" s="105">
        <v>65797</v>
      </c>
      <c r="E282" s="105">
        <v>63415</v>
      </c>
    </row>
    <row r="283" spans="1:5" x14ac:dyDescent="0.25">
      <c r="A283" t="s">
        <v>356</v>
      </c>
      <c r="B283" s="105">
        <v>17710</v>
      </c>
      <c r="C283" s="105">
        <v>9895</v>
      </c>
      <c r="D283">
        <v>-856</v>
      </c>
      <c r="E283" s="105">
        <v>-8195</v>
      </c>
    </row>
    <row r="284" spans="1:5" x14ac:dyDescent="0.25">
      <c r="A284" t="s">
        <v>358</v>
      </c>
      <c r="B284" s="105">
        <v>3708</v>
      </c>
      <c r="C284" s="105">
        <v>1743</v>
      </c>
      <c r="D284" s="105">
        <v>1422</v>
      </c>
      <c r="E284" s="105">
        <v>1863</v>
      </c>
    </row>
    <row r="285" spans="1:5" x14ac:dyDescent="0.25">
      <c r="A285" t="s">
        <v>359</v>
      </c>
      <c r="B285" s="105">
        <v>110429</v>
      </c>
      <c r="C285" s="105">
        <v>91545</v>
      </c>
      <c r="D285" s="105">
        <v>77076</v>
      </c>
      <c r="E285" s="105">
        <v>69004</v>
      </c>
    </row>
    <row r="286" spans="1:5" x14ac:dyDescent="0.25">
      <c r="A286" t="s">
        <v>360</v>
      </c>
      <c r="B286" s="105">
        <v>89784</v>
      </c>
      <c r="C286" s="105">
        <v>78944</v>
      </c>
      <c r="D286" s="105">
        <v>66363</v>
      </c>
      <c r="E286" s="105">
        <v>57083</v>
      </c>
    </row>
    <row r="287" spans="1:5" x14ac:dyDescent="0.25">
      <c r="A287" t="s">
        <v>361</v>
      </c>
      <c r="B287" s="105">
        <v>172384</v>
      </c>
      <c r="C287" s="105">
        <v>142431</v>
      </c>
      <c r="D287" s="105">
        <v>121271</v>
      </c>
      <c r="E287" s="105">
        <v>108704</v>
      </c>
    </row>
    <row r="297" spans="1:5" x14ac:dyDescent="0.25">
      <c r="A297" s="123"/>
      <c r="B297" s="105"/>
      <c r="C297" s="105"/>
      <c r="D297" s="105"/>
      <c r="E297" s="105"/>
    </row>
    <row r="298" spans="1:5" x14ac:dyDescent="0.25">
      <c r="A298" s="123"/>
      <c r="B298" s="123"/>
      <c r="C298" s="123"/>
      <c r="D298" s="123"/>
      <c r="E298" s="123"/>
    </row>
    <row r="299" spans="1:5" x14ac:dyDescent="0.25">
      <c r="A299" s="123"/>
      <c r="B299" s="123"/>
      <c r="C299" s="123"/>
      <c r="D299" s="123"/>
      <c r="E299" s="123"/>
    </row>
    <row r="300" spans="1:5" x14ac:dyDescent="0.25">
      <c r="A300" s="123"/>
      <c r="B300" s="105"/>
      <c r="C300" s="105"/>
      <c r="D300" s="105"/>
      <c r="E300" s="105"/>
    </row>
    <row r="301" spans="1:5" x14ac:dyDescent="0.25">
      <c r="A301" s="123"/>
      <c r="B301" s="105"/>
      <c r="C301" s="105"/>
      <c r="D301" s="105"/>
      <c r="E301" s="105"/>
    </row>
    <row r="302" spans="1:5" x14ac:dyDescent="0.25">
      <c r="A302" s="123"/>
      <c r="B302" s="105"/>
      <c r="C302" s="105"/>
      <c r="D302" s="105"/>
      <c r="E302" s="105"/>
    </row>
    <row r="303" spans="1:5" x14ac:dyDescent="0.25">
      <c r="A303" s="123"/>
      <c r="B303" s="105"/>
      <c r="C303" s="105"/>
      <c r="D303" s="105"/>
      <c r="E303" s="105"/>
    </row>
    <row r="304" spans="1:5" x14ac:dyDescent="0.25">
      <c r="A304" s="123"/>
      <c r="B304" s="123"/>
      <c r="C304" s="105"/>
      <c r="D304" s="105"/>
      <c r="E304" s="105"/>
    </row>
    <row r="305" spans="1:5" x14ac:dyDescent="0.25">
      <c r="A305" s="123"/>
      <c r="B305" s="105"/>
      <c r="C305" s="105"/>
      <c r="D305" s="105"/>
      <c r="E305" s="105"/>
    </row>
    <row r="306" spans="1:5" x14ac:dyDescent="0.25">
      <c r="A306" s="123"/>
      <c r="B306" s="105"/>
      <c r="C306" s="105"/>
      <c r="D306" s="105"/>
      <c r="E306" s="105"/>
    </row>
    <row r="307" spans="1:5" x14ac:dyDescent="0.25">
      <c r="A307" s="123"/>
      <c r="B307" s="105"/>
      <c r="C307" s="105"/>
      <c r="D307" s="105"/>
      <c r="E307" s="105"/>
    </row>
    <row r="308" spans="1:5" x14ac:dyDescent="0.25">
      <c r="A308" s="123"/>
      <c r="B308" s="105"/>
      <c r="C308" s="105"/>
      <c r="D308" s="105"/>
      <c r="E308" s="105"/>
    </row>
    <row r="309" spans="1:5" x14ac:dyDescent="0.25">
      <c r="A309" s="123"/>
      <c r="B309" s="105"/>
      <c r="C309" s="105"/>
      <c r="D309" s="105"/>
      <c r="E309" s="105"/>
    </row>
    <row r="310" spans="1:5" x14ac:dyDescent="0.25">
      <c r="A310" s="123"/>
      <c r="B310" s="123"/>
      <c r="C310" s="123"/>
      <c r="D310" s="123"/>
      <c r="E310" s="123"/>
    </row>
    <row r="311" spans="1:5" x14ac:dyDescent="0.25">
      <c r="A311" s="123"/>
      <c r="B311" s="105"/>
      <c r="C311" s="105"/>
      <c r="D311" s="105"/>
      <c r="E311" s="105"/>
    </row>
    <row r="312" spans="1:5" x14ac:dyDescent="0.25">
      <c r="A312" s="123"/>
      <c r="B312" s="123"/>
      <c r="C312" s="123"/>
      <c r="D312" s="123"/>
      <c r="E312" s="123"/>
    </row>
    <row r="313" spans="1:5" x14ac:dyDescent="0.25">
      <c r="A313" s="123"/>
      <c r="B313" s="123"/>
      <c r="C313" s="123"/>
      <c r="D313" s="123"/>
      <c r="E313" s="123"/>
    </row>
    <row r="314" spans="1:5" x14ac:dyDescent="0.25">
      <c r="A314" s="123"/>
      <c r="B314" s="105"/>
      <c r="C314" s="105"/>
      <c r="D314" s="105"/>
      <c r="E314" s="105"/>
    </row>
    <row r="315" spans="1:5" x14ac:dyDescent="0.25">
      <c r="A315" s="123"/>
      <c r="B315" s="105"/>
      <c r="C315" s="105"/>
      <c r="D315" s="105"/>
      <c r="E315" s="105"/>
    </row>
    <row r="316" spans="1:5" x14ac:dyDescent="0.25">
      <c r="A316" s="123"/>
      <c r="B316" s="105"/>
      <c r="C316" s="105"/>
      <c r="D316" s="105"/>
      <c r="E316" s="105"/>
    </row>
    <row r="317" spans="1:5" x14ac:dyDescent="0.25">
      <c r="A317" s="123"/>
      <c r="B317" s="105"/>
      <c r="C317" s="105"/>
      <c r="D317" s="105"/>
      <c r="E317" s="105"/>
    </row>
    <row r="318" spans="1:5" x14ac:dyDescent="0.25">
      <c r="A318" s="123"/>
      <c r="B318" s="123"/>
      <c r="C318" s="123"/>
      <c r="D318" s="123"/>
      <c r="E318" s="123"/>
    </row>
    <row r="319" spans="1:5" x14ac:dyDescent="0.25">
      <c r="A319" s="123"/>
      <c r="B319" s="123"/>
      <c r="C319" s="123"/>
      <c r="D319" s="123"/>
      <c r="E319" s="123"/>
    </row>
    <row r="320" spans="1:5" x14ac:dyDescent="0.25">
      <c r="A320" s="123"/>
      <c r="B320" s="105"/>
      <c r="C320" s="105"/>
      <c r="D320" s="105"/>
      <c r="E320" s="105"/>
    </row>
    <row r="321" spans="1:5" x14ac:dyDescent="0.25">
      <c r="A321" s="123"/>
      <c r="B321" s="123"/>
      <c r="C321" s="123"/>
      <c r="D321" s="123"/>
      <c r="E321" s="105"/>
    </row>
    <row r="322" spans="1:5" x14ac:dyDescent="0.25">
      <c r="A322" s="123"/>
      <c r="B322" s="123"/>
      <c r="C322" s="123"/>
      <c r="D322" s="123"/>
      <c r="E322" s="123"/>
    </row>
    <row r="323" spans="1:5" x14ac:dyDescent="0.25">
      <c r="A323" s="123"/>
      <c r="B323" s="105"/>
      <c r="C323" s="105"/>
      <c r="D323" s="105"/>
      <c r="E323" s="105"/>
    </row>
    <row r="324" spans="1:5" x14ac:dyDescent="0.25">
      <c r="A324" s="123"/>
      <c r="B324" s="105"/>
      <c r="C324" s="123"/>
      <c r="D324" s="123"/>
      <c r="E324" s="105"/>
    </row>
    <row r="326" spans="1:5" hidden="1" x14ac:dyDescent="0.25"/>
    <row r="327" spans="1:5" hidden="1" x14ac:dyDescent="0.25"/>
    <row r="328" spans="1:5" hidden="1" x14ac:dyDescent="0.25"/>
    <row r="329" spans="1:5" hidden="1" x14ac:dyDescent="0.25"/>
    <row r="330" spans="1:5" hidden="1" x14ac:dyDescent="0.25"/>
    <row r="331" spans="1:5" hidden="1" x14ac:dyDescent="0.25"/>
    <row r="332" spans="1:5" hidden="1" x14ac:dyDescent="0.25"/>
    <row r="333" spans="1:5" hidden="1" x14ac:dyDescent="0.25"/>
    <row r="334" spans="1:5" hidden="1" x14ac:dyDescent="0.25"/>
    <row r="335" spans="1:5" hidden="1" x14ac:dyDescent="0.25"/>
    <row r="336" spans="1:5" hidden="1" x14ac:dyDescent="0.25"/>
    <row r="337" spans="1:5" hidden="1" x14ac:dyDescent="0.25"/>
    <row r="338" spans="1:5" hidden="1" x14ac:dyDescent="0.25"/>
    <row r="339" spans="1:5" hidden="1" x14ac:dyDescent="0.25"/>
    <row r="340" spans="1:5" hidden="1" x14ac:dyDescent="0.25"/>
    <row r="341" spans="1:5" hidden="1" x14ac:dyDescent="0.25"/>
    <row r="342" spans="1:5" hidden="1" x14ac:dyDescent="0.25"/>
    <row r="343" spans="1:5" hidden="1" x14ac:dyDescent="0.25"/>
    <row r="344" spans="1:5" hidden="1" x14ac:dyDescent="0.25"/>
    <row r="346" spans="1:5" x14ac:dyDescent="0.25">
      <c r="A346" t="s">
        <v>308</v>
      </c>
      <c r="B346" s="144">
        <v>41820</v>
      </c>
      <c r="C346" s="144">
        <v>41455</v>
      </c>
      <c r="D346" s="144">
        <v>41090</v>
      </c>
      <c r="E346" s="144">
        <v>40724</v>
      </c>
    </row>
    <row r="347" spans="1:5" x14ac:dyDescent="0.25">
      <c r="A347" t="s">
        <v>362</v>
      </c>
      <c r="B347" s="105">
        <v>3804</v>
      </c>
      <c r="C347" s="105">
        <v>6938</v>
      </c>
      <c r="D347" s="105">
        <v>9610</v>
      </c>
      <c r="E347" s="105">
        <v>5505</v>
      </c>
    </row>
    <row r="348" spans="1:5" x14ac:dyDescent="0.25">
      <c r="A348" t="s">
        <v>363</v>
      </c>
      <c r="B348" s="105">
        <v>22074</v>
      </c>
      <c r="C348" s="105">
        <v>21863</v>
      </c>
      <c r="D348" s="105">
        <v>16978</v>
      </c>
      <c r="E348" s="105">
        <v>23150</v>
      </c>
    </row>
    <row r="349" spans="1:5" x14ac:dyDescent="0.25">
      <c r="A349" t="s">
        <v>364</v>
      </c>
      <c r="B349" s="105">
        <v>5212</v>
      </c>
      <c r="C349" s="105">
        <v>3755</v>
      </c>
      <c r="D349" s="105">
        <v>2967</v>
      </c>
      <c r="E349" s="105">
        <v>2766</v>
      </c>
    </row>
    <row r="350" spans="1:5" x14ac:dyDescent="0.25">
      <c r="A350" t="s">
        <v>219</v>
      </c>
      <c r="B350">
        <v>-331</v>
      </c>
      <c r="C350">
        <v>-19</v>
      </c>
      <c r="D350">
        <v>954</v>
      </c>
      <c r="E350">
        <v>2</v>
      </c>
    </row>
    <row r="351" spans="1:5" x14ac:dyDescent="0.25">
      <c r="A351" t="s">
        <v>365</v>
      </c>
      <c r="B351">
        <v>-109</v>
      </c>
      <c r="C351">
        <v>80</v>
      </c>
      <c r="D351">
        <v>-200</v>
      </c>
      <c r="E351">
        <v>-362</v>
      </c>
    </row>
    <row r="352" spans="1:5" x14ac:dyDescent="0.25">
      <c r="A352" t="s">
        <v>366</v>
      </c>
      <c r="B352" s="105">
        <v>-1120</v>
      </c>
      <c r="C352" s="105">
        <v>-1807</v>
      </c>
      <c r="D352" s="105">
        <v>-1156</v>
      </c>
      <c r="E352" s="105">
        <v>-1451</v>
      </c>
    </row>
    <row r="353" spans="1:5" x14ac:dyDescent="0.25">
      <c r="A353" t="s">
        <v>367</v>
      </c>
      <c r="B353">
        <v>-161</v>
      </c>
      <c r="C353">
        <v>-802</v>
      </c>
      <c r="D353">
        <v>184</v>
      </c>
      <c r="E353">
        <v>-561</v>
      </c>
    </row>
    <row r="354" spans="1:5" x14ac:dyDescent="0.25">
      <c r="A354" t="s">
        <v>368</v>
      </c>
      <c r="B354">
        <v>-29</v>
      </c>
      <c r="C354">
        <v>-129</v>
      </c>
      <c r="D354">
        <v>493</v>
      </c>
      <c r="E354" s="105">
        <v>-1259</v>
      </c>
    </row>
    <row r="355" spans="1:5" x14ac:dyDescent="0.25">
      <c r="A355" t="s">
        <v>369</v>
      </c>
      <c r="B355">
        <v>473</v>
      </c>
      <c r="C355">
        <v>537</v>
      </c>
      <c r="D355">
        <v>-31</v>
      </c>
      <c r="E355">
        <v>58</v>
      </c>
    </row>
    <row r="356" spans="1:5" x14ac:dyDescent="0.25">
      <c r="A356" t="s">
        <v>370</v>
      </c>
      <c r="B356" s="105">
        <v>1075</v>
      </c>
      <c r="C356">
        <v>146</v>
      </c>
      <c r="D356">
        <v>410</v>
      </c>
      <c r="E356" s="105">
        <v>-1146</v>
      </c>
    </row>
    <row r="357" spans="1:5" x14ac:dyDescent="0.25">
      <c r="A357" t="s">
        <v>422</v>
      </c>
      <c r="B357">
        <v>386</v>
      </c>
      <c r="C357">
        <v>680</v>
      </c>
      <c r="D357">
        <v>-74</v>
      </c>
      <c r="E357" s="105">
        <v>1356</v>
      </c>
    </row>
    <row r="358" spans="1:5" x14ac:dyDescent="0.25">
      <c r="A358" t="s">
        <v>371</v>
      </c>
      <c r="B358" s="105">
        <v>4761</v>
      </c>
      <c r="C358" s="105">
        <v>4529</v>
      </c>
      <c r="D358" s="105">
        <v>11101</v>
      </c>
      <c r="E358" s="105">
        <v>4441</v>
      </c>
    </row>
    <row r="359" spans="1:5" x14ac:dyDescent="0.25">
      <c r="A359" t="s">
        <v>372</v>
      </c>
      <c r="B359" s="105">
        <v>32231</v>
      </c>
      <c r="C359" s="105">
        <v>28833</v>
      </c>
      <c r="D359" s="105">
        <v>31626</v>
      </c>
      <c r="E359" s="105">
        <v>26994</v>
      </c>
    </row>
    <row r="360" spans="1:5" x14ac:dyDescent="0.25">
      <c r="A360" t="s">
        <v>373</v>
      </c>
      <c r="B360" s="105">
        <v>32231</v>
      </c>
      <c r="C360" s="105">
        <v>28833</v>
      </c>
      <c r="D360" s="105">
        <v>31626</v>
      </c>
      <c r="E360" s="105">
        <v>26994</v>
      </c>
    </row>
    <row r="361" spans="1:5" x14ac:dyDescent="0.25">
      <c r="A361" t="s">
        <v>374</v>
      </c>
      <c r="B361" s="105">
        <v>60094</v>
      </c>
      <c r="C361" s="105">
        <v>57594</v>
      </c>
      <c r="D361" s="105">
        <v>45275</v>
      </c>
      <c r="E361" s="105">
        <v>22777</v>
      </c>
    </row>
    <row r="362" spans="1:5" x14ac:dyDescent="0.25">
      <c r="A362" t="s">
        <v>375</v>
      </c>
      <c r="B362" s="105">
        <v>-5485</v>
      </c>
      <c r="C362" s="105">
        <v>-4257</v>
      </c>
      <c r="D362" s="105">
        <v>-2305</v>
      </c>
      <c r="E362" s="105">
        <v>-2355</v>
      </c>
    </row>
    <row r="363" spans="1:5" x14ac:dyDescent="0.25">
      <c r="A363" t="s">
        <v>376</v>
      </c>
      <c r="B363" s="105">
        <v>-5937</v>
      </c>
      <c r="C363" s="105">
        <v>-1584</v>
      </c>
      <c r="D363" s="105">
        <v>-10112</v>
      </c>
      <c r="E363">
        <v>-71</v>
      </c>
    </row>
    <row r="364" spans="1:5" x14ac:dyDescent="0.25">
      <c r="A364" t="s">
        <v>377</v>
      </c>
      <c r="B364" s="105">
        <v>-72690</v>
      </c>
      <c r="C364" s="105">
        <v>-75396</v>
      </c>
      <c r="D364" s="105">
        <v>-57250</v>
      </c>
      <c r="E364" s="105">
        <v>-35993</v>
      </c>
    </row>
    <row r="365" spans="1:5" x14ac:dyDescent="0.25">
      <c r="A365" t="s">
        <v>378</v>
      </c>
      <c r="B365" s="105">
        <v>5185</v>
      </c>
      <c r="C365">
        <v>-168</v>
      </c>
      <c r="D365">
        <v>-394</v>
      </c>
      <c r="E365" s="105">
        <v>1026</v>
      </c>
    </row>
    <row r="366" spans="1:5" x14ac:dyDescent="0.25">
      <c r="A366" t="s">
        <v>379</v>
      </c>
      <c r="B366" s="105">
        <v>-18833</v>
      </c>
      <c r="C366" s="105">
        <v>-23811</v>
      </c>
      <c r="D366" s="105">
        <v>-24786</v>
      </c>
      <c r="E366" s="105">
        <v>-14616</v>
      </c>
    </row>
    <row r="367" spans="1:5" x14ac:dyDescent="0.25">
      <c r="A367" t="s">
        <v>380</v>
      </c>
      <c r="B367" s="105">
        <v>10850</v>
      </c>
      <c r="C367" s="105">
        <v>4883</v>
      </c>
      <c r="D367">
        <v>0</v>
      </c>
      <c r="E367" s="105">
        <v>6774</v>
      </c>
    </row>
    <row r="368" spans="1:5" x14ac:dyDescent="0.25">
      <c r="A368" t="s">
        <v>381</v>
      </c>
      <c r="B368">
        <v>607</v>
      </c>
      <c r="C368">
        <v>931</v>
      </c>
      <c r="D368" s="105">
        <v>1913</v>
      </c>
      <c r="E368" s="105">
        <v>2422</v>
      </c>
    </row>
    <row r="369" spans="1:5" x14ac:dyDescent="0.25">
      <c r="A369" t="s">
        <v>382</v>
      </c>
      <c r="B369" s="105">
        <v>-3888</v>
      </c>
      <c r="C369" s="105">
        <v>-1346</v>
      </c>
      <c r="D369">
        <v>0</v>
      </c>
      <c r="E369">
        <v>-814</v>
      </c>
    </row>
    <row r="370" spans="1:5" x14ac:dyDescent="0.25">
      <c r="A370" t="s">
        <v>383</v>
      </c>
      <c r="B370" s="105">
        <v>-7316</v>
      </c>
      <c r="C370" s="105">
        <v>-5360</v>
      </c>
      <c r="D370" s="105">
        <v>-5029</v>
      </c>
      <c r="E370" s="105">
        <v>-11555</v>
      </c>
    </row>
    <row r="371" spans="1:5" x14ac:dyDescent="0.25">
      <c r="A371" t="s">
        <v>384</v>
      </c>
      <c r="B371" s="105">
        <v>-8879</v>
      </c>
      <c r="C371" s="105">
        <v>-7455</v>
      </c>
      <c r="D371" s="105">
        <v>-6385</v>
      </c>
      <c r="E371" s="105">
        <v>-5180</v>
      </c>
    </row>
    <row r="372" spans="1:5" x14ac:dyDescent="0.25">
      <c r="A372" t="s">
        <v>385</v>
      </c>
      <c r="B372">
        <v>232</v>
      </c>
      <c r="C372">
        <v>199</v>
      </c>
      <c r="D372">
        <v>93</v>
      </c>
      <c r="E372">
        <v>-23</v>
      </c>
    </row>
    <row r="373" spans="1:5" x14ac:dyDescent="0.25">
      <c r="A373" t="s">
        <v>386</v>
      </c>
      <c r="B373" s="105">
        <v>-8394</v>
      </c>
      <c r="C373" s="105">
        <v>-8148</v>
      </c>
      <c r="D373" s="105">
        <v>-9408</v>
      </c>
      <c r="E373" s="105">
        <v>-8376</v>
      </c>
    </row>
    <row r="374" spans="1:5" x14ac:dyDescent="0.25">
      <c r="A374" t="s">
        <v>387</v>
      </c>
      <c r="B374" s="105">
        <v>4865</v>
      </c>
      <c r="C374" s="105">
        <v>-3134</v>
      </c>
      <c r="D374" s="105">
        <v>-2672</v>
      </c>
      <c r="E374" s="105">
        <v>4105</v>
      </c>
    </row>
    <row r="375" spans="1:5" x14ac:dyDescent="0.25">
      <c r="A375" t="s">
        <v>388</v>
      </c>
      <c r="B375" s="105">
        <v>8669</v>
      </c>
      <c r="C375" s="105">
        <v>3804</v>
      </c>
      <c r="D375" s="105">
        <v>6938</v>
      </c>
      <c r="E375" s="105">
        <v>9610</v>
      </c>
    </row>
    <row r="376" spans="1:5" x14ac:dyDescent="0.25">
      <c r="A376" t="s">
        <v>389</v>
      </c>
      <c r="B376">
        <v>-139</v>
      </c>
      <c r="C376">
        <v>-8</v>
      </c>
      <c r="D376">
        <v>-104</v>
      </c>
      <c r="E376">
        <v>103</v>
      </c>
    </row>
    <row r="382" spans="1:5" x14ac:dyDescent="0.25">
      <c r="A382" s="123"/>
      <c r="B382" s="123"/>
      <c r="C382" s="123"/>
      <c r="D382" s="123"/>
      <c r="E382" s="123"/>
    </row>
    <row r="383" spans="1:5" x14ac:dyDescent="0.25">
      <c r="A383" s="123"/>
      <c r="B383" s="105"/>
      <c r="C383" s="105"/>
      <c r="D383" s="105"/>
      <c r="E383" s="105"/>
    </row>
    <row r="384" spans="1:5" x14ac:dyDescent="0.25">
      <c r="A384" s="123"/>
      <c r="B384" s="105"/>
      <c r="C384" s="105"/>
      <c r="D384" s="105"/>
      <c r="E384" s="105"/>
    </row>
    <row r="385" spans="1:5" x14ac:dyDescent="0.25">
      <c r="A385" s="123"/>
      <c r="B385" s="105"/>
      <c r="C385" s="105"/>
      <c r="D385" s="105"/>
      <c r="E385" s="105"/>
    </row>
    <row r="386" spans="1:5" x14ac:dyDescent="0.25">
      <c r="A386" s="123"/>
      <c r="B386" s="105"/>
      <c r="C386" s="105"/>
      <c r="D386" s="105"/>
      <c r="E386" s="105"/>
    </row>
    <row r="387" spans="1:5" x14ac:dyDescent="0.25">
      <c r="A387" s="123"/>
      <c r="B387" s="105"/>
      <c r="C387" s="105"/>
      <c r="D387" s="105"/>
      <c r="E387" s="105"/>
    </row>
    <row r="388" spans="1:5" x14ac:dyDescent="0.25">
      <c r="A388" s="123"/>
      <c r="B388" s="105"/>
      <c r="C388" s="105"/>
      <c r="D388" s="105"/>
      <c r="E388" s="105"/>
    </row>
    <row r="389" spans="1:5" x14ac:dyDescent="0.25">
      <c r="A389" s="123"/>
      <c r="B389" s="123"/>
      <c r="C389" s="123"/>
      <c r="D389" s="123"/>
      <c r="E389" s="123"/>
    </row>
    <row r="390" spans="1:5" x14ac:dyDescent="0.25">
      <c r="A390" s="123"/>
      <c r="B390" s="123"/>
      <c r="C390" s="123"/>
      <c r="D390" s="123"/>
      <c r="E390" s="123"/>
    </row>
    <row r="391" spans="1:5" x14ac:dyDescent="0.25">
      <c r="A391" s="123"/>
      <c r="B391" s="105"/>
      <c r="C391" s="105"/>
      <c r="D391" s="105"/>
      <c r="E391" s="105"/>
    </row>
    <row r="392" spans="1:5" x14ac:dyDescent="0.25">
      <c r="A392" s="123"/>
      <c r="B392" s="123"/>
      <c r="C392" s="123"/>
      <c r="D392" s="123"/>
      <c r="E392" s="123"/>
    </row>
    <row r="393" spans="1:5" x14ac:dyDescent="0.25">
      <c r="A393" s="123"/>
      <c r="B393" s="123"/>
      <c r="C393" s="123"/>
      <c r="D393" s="123"/>
      <c r="E393" s="123"/>
    </row>
    <row r="394" spans="1:5" x14ac:dyDescent="0.25">
      <c r="A394" s="123"/>
      <c r="B394" s="123"/>
      <c r="C394" s="123"/>
      <c r="D394" s="123"/>
      <c r="E394" s="123"/>
    </row>
    <row r="395" spans="1:5" x14ac:dyDescent="0.25">
      <c r="A395" s="123"/>
      <c r="B395" s="105"/>
      <c r="C395" s="105"/>
      <c r="D395" s="105"/>
      <c r="E395" s="105"/>
    </row>
    <row r="396" spans="1:5" x14ac:dyDescent="0.25">
      <c r="A396" s="123"/>
      <c r="B396" s="123"/>
      <c r="C396" s="123"/>
      <c r="D396" s="123"/>
      <c r="E396" s="123"/>
    </row>
    <row r="397" spans="1:5" x14ac:dyDescent="0.25">
      <c r="A397" s="123"/>
      <c r="B397" s="105"/>
      <c r="C397" s="105"/>
      <c r="D397" s="105"/>
      <c r="E397" s="105"/>
    </row>
    <row r="398" spans="1:5" x14ac:dyDescent="0.25">
      <c r="A398" s="123"/>
      <c r="B398" s="105"/>
      <c r="C398" s="105"/>
      <c r="D398" s="105"/>
      <c r="E398" s="105"/>
    </row>
    <row r="444" spans="1:7" x14ac:dyDescent="0.25">
      <c r="A444" s="86" t="s">
        <v>446</v>
      </c>
      <c r="E444" s="86" t="s">
        <v>304</v>
      </c>
    </row>
    <row r="446" spans="1:7" x14ac:dyDescent="0.25">
      <c r="A446" t="s">
        <v>444</v>
      </c>
      <c r="B446" t="s">
        <v>445</v>
      </c>
      <c r="C446" t="s">
        <v>161</v>
      </c>
      <c r="E446" t="s">
        <v>444</v>
      </c>
      <c r="F446" t="s">
        <v>445</v>
      </c>
      <c r="G446" t="s">
        <v>161</v>
      </c>
    </row>
    <row r="447" spans="1:7" x14ac:dyDescent="0.25">
      <c r="A447">
        <v>1.07</v>
      </c>
      <c r="C447" s="144">
        <v>41820</v>
      </c>
      <c r="E447">
        <v>2.63</v>
      </c>
      <c r="G447" s="144">
        <v>41820</v>
      </c>
    </row>
    <row r="448" spans="1:7" x14ac:dyDescent="0.25">
      <c r="A448">
        <v>1.07</v>
      </c>
      <c r="C448" s="144">
        <v>41820</v>
      </c>
      <c r="E448">
        <v>2.63</v>
      </c>
      <c r="G448" s="144">
        <v>41820</v>
      </c>
    </row>
    <row r="449" spans="1:7" x14ac:dyDescent="0.25">
      <c r="A449">
        <v>0.89</v>
      </c>
      <c r="C449" s="144">
        <v>41455</v>
      </c>
      <c r="E449">
        <v>2.58</v>
      </c>
      <c r="G449" s="144">
        <v>41455</v>
      </c>
    </row>
    <row r="450" spans="1:7" x14ac:dyDescent="0.25">
      <c r="A450">
        <v>0.89</v>
      </c>
      <c r="C450" s="144">
        <v>41455</v>
      </c>
      <c r="E450">
        <v>2.58</v>
      </c>
      <c r="G450" s="144">
        <v>41455</v>
      </c>
    </row>
    <row r="451" spans="1:7" x14ac:dyDescent="0.25">
      <c r="A451">
        <v>0.76</v>
      </c>
      <c r="C451" s="144">
        <v>41090</v>
      </c>
      <c r="E451">
        <v>2</v>
      </c>
      <c r="G451" s="144">
        <v>41090</v>
      </c>
    </row>
    <row r="452" spans="1:7" x14ac:dyDescent="0.25">
      <c r="A452">
        <v>0.76</v>
      </c>
      <c r="C452" s="144">
        <v>41090</v>
      </c>
      <c r="E452">
        <v>2</v>
      </c>
      <c r="G452" s="144">
        <v>41090</v>
      </c>
    </row>
    <row r="453" spans="1:7" x14ac:dyDescent="0.25">
      <c r="A453">
        <v>0.61</v>
      </c>
      <c r="C453" s="144">
        <v>40724</v>
      </c>
      <c r="E453">
        <v>2.69</v>
      </c>
      <c r="G453" s="144">
        <v>40724</v>
      </c>
    </row>
    <row r="454" spans="1:7" x14ac:dyDescent="0.25">
      <c r="A454">
        <v>0.61</v>
      </c>
      <c r="C454" s="144">
        <v>40724</v>
      </c>
      <c r="E454">
        <v>2.69</v>
      </c>
      <c r="G454" s="144">
        <v>40724</v>
      </c>
    </row>
    <row r="455" spans="1:7" x14ac:dyDescent="0.25">
      <c r="A455">
        <v>0.52</v>
      </c>
      <c r="C455" s="144">
        <v>40359</v>
      </c>
      <c r="E455">
        <v>2.1</v>
      </c>
      <c r="G455" s="144">
        <v>40359</v>
      </c>
    </row>
    <row r="456" spans="1:7" x14ac:dyDescent="0.25">
      <c r="A456">
        <v>0.52</v>
      </c>
      <c r="C456" s="144">
        <v>40359</v>
      </c>
      <c r="E456">
        <v>2.1</v>
      </c>
      <c r="G456" s="144">
        <v>40359</v>
      </c>
    </row>
    <row r="457" spans="1:7" x14ac:dyDescent="0.25">
      <c r="A457">
        <v>0.5</v>
      </c>
      <c r="C457" s="144">
        <v>39994</v>
      </c>
      <c r="E457">
        <v>1.62</v>
      </c>
      <c r="G457" s="144">
        <v>39994</v>
      </c>
    </row>
    <row r="458" spans="1:7" x14ac:dyDescent="0.25">
      <c r="A458">
        <v>0.5</v>
      </c>
      <c r="C458" s="144">
        <v>39994</v>
      </c>
      <c r="E458">
        <v>1.62</v>
      </c>
      <c r="G458" s="144">
        <v>39994</v>
      </c>
    </row>
    <row r="459" spans="1:7" x14ac:dyDescent="0.25">
      <c r="A459">
        <v>0.43</v>
      </c>
      <c r="C459" s="144">
        <v>39629</v>
      </c>
      <c r="E459">
        <v>1.87</v>
      </c>
      <c r="G459" s="144">
        <v>39629</v>
      </c>
    </row>
    <row r="460" spans="1:7" x14ac:dyDescent="0.25">
      <c r="A460">
        <v>0.43</v>
      </c>
      <c r="C460" s="144">
        <v>39629</v>
      </c>
      <c r="E460">
        <v>1.87</v>
      </c>
      <c r="G460" s="144">
        <v>39629</v>
      </c>
    </row>
    <row r="461" spans="1:7" x14ac:dyDescent="0.25">
      <c r="A461">
        <v>0.39</v>
      </c>
      <c r="C461" s="144">
        <v>39263</v>
      </c>
      <c r="E461">
        <v>1.42</v>
      </c>
      <c r="G461" s="144">
        <v>39263</v>
      </c>
    </row>
    <row r="462" spans="1:7" x14ac:dyDescent="0.25">
      <c r="A462">
        <v>0.39</v>
      </c>
      <c r="C462" s="144">
        <v>39263</v>
      </c>
      <c r="E462">
        <v>1.42</v>
      </c>
      <c r="G462" s="144">
        <v>39263</v>
      </c>
    </row>
    <row r="463" spans="1:7" x14ac:dyDescent="0.25">
      <c r="A463">
        <v>0.34</v>
      </c>
      <c r="C463" s="144">
        <v>38898</v>
      </c>
      <c r="E463">
        <v>1.2</v>
      </c>
      <c r="G463" s="144">
        <v>38898</v>
      </c>
    </row>
    <row r="464" spans="1:7" x14ac:dyDescent="0.25">
      <c r="A464">
        <v>0.34</v>
      </c>
      <c r="C464" s="144">
        <v>38898</v>
      </c>
      <c r="E464">
        <v>1.2</v>
      </c>
      <c r="G464" s="144">
        <v>38898</v>
      </c>
    </row>
    <row r="465" spans="1:7" x14ac:dyDescent="0.25">
      <c r="A465">
        <v>3.4</v>
      </c>
      <c r="C465" s="144">
        <v>38533</v>
      </c>
      <c r="E465">
        <v>1.1200000000000001</v>
      </c>
      <c r="G465" s="144">
        <v>38533</v>
      </c>
    </row>
    <row r="466" spans="1:7" x14ac:dyDescent="0.25">
      <c r="A466">
        <v>3.4</v>
      </c>
      <c r="C466" s="144">
        <v>38533</v>
      </c>
      <c r="E466">
        <v>1.1200000000000001</v>
      </c>
      <c r="G466" s="144">
        <v>38533</v>
      </c>
    </row>
    <row r="467" spans="1:7" x14ac:dyDescent="0.25">
      <c r="A467">
        <v>0.16</v>
      </c>
      <c r="C467" s="144">
        <v>38168</v>
      </c>
      <c r="E467">
        <v>0.75</v>
      </c>
      <c r="G467" s="144">
        <v>38168</v>
      </c>
    </row>
    <row r="468" spans="1:7" x14ac:dyDescent="0.25">
      <c r="A468">
        <v>0.16</v>
      </c>
      <c r="C468" s="144">
        <v>38168</v>
      </c>
      <c r="E468">
        <v>0.75</v>
      </c>
      <c r="G468" s="144">
        <v>38168</v>
      </c>
    </row>
    <row r="469" spans="1:7" x14ac:dyDescent="0.25">
      <c r="A469">
        <v>0.08</v>
      </c>
      <c r="C469" s="144">
        <v>37802</v>
      </c>
      <c r="E469">
        <v>0.92</v>
      </c>
      <c r="G469" s="144">
        <v>37802</v>
      </c>
    </row>
    <row r="470" spans="1:7" x14ac:dyDescent="0.25">
      <c r="A470">
        <v>0.08</v>
      </c>
      <c r="C470" s="144">
        <v>37802</v>
      </c>
      <c r="E470">
        <v>0.92</v>
      </c>
      <c r="G470" s="144">
        <v>37802</v>
      </c>
    </row>
    <row r="471" spans="1:7" x14ac:dyDescent="0.25">
      <c r="A471">
        <v>0</v>
      </c>
      <c r="C471" s="144">
        <v>37437</v>
      </c>
      <c r="E471">
        <v>0.71</v>
      </c>
      <c r="G471" s="144">
        <v>37437</v>
      </c>
    </row>
    <row r="472" spans="1:7" x14ac:dyDescent="0.25">
      <c r="A472">
        <v>0</v>
      </c>
      <c r="C472" s="144">
        <v>37437</v>
      </c>
      <c r="E472">
        <v>0.71</v>
      </c>
      <c r="G472" s="144">
        <v>37437</v>
      </c>
    </row>
    <row r="473" spans="1:7" x14ac:dyDescent="0.25">
      <c r="A473">
        <v>0</v>
      </c>
      <c r="C473" s="144">
        <v>37072</v>
      </c>
      <c r="E473">
        <v>0.69</v>
      </c>
      <c r="G473" s="144">
        <v>37072</v>
      </c>
    </row>
    <row r="474" spans="1:7" x14ac:dyDescent="0.25">
      <c r="A474">
        <v>0</v>
      </c>
      <c r="C474" s="144">
        <v>37072</v>
      </c>
      <c r="E474">
        <v>0.69</v>
      </c>
      <c r="G474" s="144">
        <v>37072</v>
      </c>
    </row>
    <row r="475" spans="1:7" x14ac:dyDescent="0.25">
      <c r="A475">
        <v>0</v>
      </c>
      <c r="C475" s="144">
        <v>36707</v>
      </c>
      <c r="E475">
        <v>0.85</v>
      </c>
      <c r="G475" s="144">
        <v>36707</v>
      </c>
    </row>
    <row r="476" spans="1:7" x14ac:dyDescent="0.25">
      <c r="A476">
        <v>0</v>
      </c>
      <c r="C476" s="144">
        <v>36707</v>
      </c>
      <c r="E476">
        <v>0.85</v>
      </c>
      <c r="G476" s="144">
        <v>36707</v>
      </c>
    </row>
  </sheetData>
  <sheetProtection sheet="1" objects="1" scenarios="1"/>
  <pageMargins left="0.7" right="0.7" top="0.75" bottom="0.75" header="0.3" footer="0.3"/>
  <pageSetup orientation="portrait"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D498"/>
  <sheetViews>
    <sheetView tabSelected="1" zoomScale="85" zoomScaleNormal="85" workbookViewId="0"/>
  </sheetViews>
  <sheetFormatPr defaultRowHeight="13.2" x14ac:dyDescent="0.25"/>
  <cols>
    <col min="1" max="1" width="65.88671875" customWidth="1"/>
    <col min="2" max="2" width="10.109375" customWidth="1"/>
    <col min="4" max="12" width="15.6640625" customWidth="1"/>
    <col min="13" max="13" width="24.109375" customWidth="1"/>
    <col min="14" max="14" width="25" customWidth="1"/>
    <col min="16" max="16" width="14.33203125" bestFit="1" customWidth="1"/>
    <col min="18" max="20" width="10.33203125" bestFit="1" customWidth="1"/>
  </cols>
  <sheetData>
    <row r="1" spans="1:22" s="96" customFormat="1" ht="20.100000000000001" customHeight="1" x14ac:dyDescent="0.4">
      <c r="A1" s="93" t="s">
        <v>195</v>
      </c>
      <c r="B1" s="94"/>
      <c r="C1" s="94"/>
      <c r="D1" s="94"/>
      <c r="E1" s="94"/>
      <c r="F1" s="94"/>
      <c r="G1" s="94"/>
      <c r="H1" s="95"/>
      <c r="I1" s="94"/>
      <c r="J1" s="94"/>
      <c r="K1" s="94"/>
      <c r="L1" s="94"/>
      <c r="M1" s="94"/>
      <c r="N1" s="94"/>
    </row>
    <row r="2" spans="1:22" x14ac:dyDescent="0.25">
      <c r="A2" s="27"/>
      <c r="B2" s="1"/>
      <c r="C2" s="1"/>
      <c r="D2" s="1"/>
      <c r="F2" s="1"/>
      <c r="M2" s="1"/>
      <c r="N2" s="1"/>
    </row>
    <row r="3" spans="1:22" x14ac:dyDescent="0.25">
      <c r="A3" s="164" t="s">
        <v>452</v>
      </c>
      <c r="B3" s="191" t="s">
        <v>453</v>
      </c>
      <c r="C3" s="1"/>
      <c r="D3" s="1"/>
      <c r="E3" s="78"/>
      <c r="F3" s="1"/>
      <c r="H3" s="91" t="s">
        <v>287</v>
      </c>
      <c r="M3" s="62"/>
      <c r="N3" s="63"/>
      <c r="O3" s="63"/>
      <c r="R3" s="65"/>
      <c r="T3" s="65"/>
      <c r="V3" s="1"/>
    </row>
    <row r="4" spans="1:22" x14ac:dyDescent="0.25">
      <c r="A4" s="24" t="str">
        <f>A68</f>
        <v>In Millions of USD (except for per share items)</v>
      </c>
      <c r="B4" s="1" t="s">
        <v>268</v>
      </c>
      <c r="C4" s="4"/>
      <c r="D4" s="1" t="s">
        <v>267</v>
      </c>
      <c r="F4" s="1"/>
      <c r="H4" s="65" t="s">
        <v>288</v>
      </c>
      <c r="I4">
        <v>1.3858999999999999</v>
      </c>
      <c r="M4" s="162"/>
      <c r="N4" s="63"/>
      <c r="O4" s="63"/>
      <c r="R4" s="65"/>
      <c r="T4" s="65"/>
      <c r="V4" s="1"/>
    </row>
    <row r="5" spans="1:22" x14ac:dyDescent="0.25">
      <c r="A5" s="1" t="s">
        <v>77</v>
      </c>
      <c r="B5" s="46">
        <f>D5</f>
        <v>100945.16044014804</v>
      </c>
      <c r="C5" s="46">
        <f>SUM(H257:L257)</f>
        <v>100945.16044014804</v>
      </c>
      <c r="D5" s="46">
        <f>SUM(H257:L257)</f>
        <v>100945.16044014804</v>
      </c>
      <c r="E5" s="1"/>
      <c r="F5" s="24" t="s">
        <v>299</v>
      </c>
      <c r="H5" s="65" t="s">
        <v>289</v>
      </c>
      <c r="I5">
        <v>2.2290000000000001E-2</v>
      </c>
      <c r="M5" s="162"/>
      <c r="N5" s="63"/>
      <c r="O5" s="63"/>
      <c r="R5" s="65"/>
      <c r="T5" s="65"/>
      <c r="V5" s="1"/>
    </row>
    <row r="6" spans="1:22" x14ac:dyDescent="0.25">
      <c r="A6" s="1" t="s">
        <v>79</v>
      </c>
      <c r="B6" s="46">
        <f>D6</f>
        <v>184989.89246440335</v>
      </c>
      <c r="C6" s="46">
        <f>((((L241*(1+B59))*(1-(B59/B62)))/(B42-B59))*(1-(((1+B59)/(1+B42))^15)))/((1+B42)^5)</f>
        <v>201492.86274638152</v>
      </c>
      <c r="D6" s="46">
        <f>SUM(M257:AA257)</f>
        <v>184989.89246440335</v>
      </c>
      <c r="F6" s="1">
        <f>IF(ISERROR(VLOOKUP(#REF!,#REF!,6,FALSE)),1,VLOOKUP(#REF!,#REF!,6,FALSE))</f>
        <v>1</v>
      </c>
      <c r="G6" s="85"/>
      <c r="H6" s="65" t="s">
        <v>290</v>
      </c>
      <c r="I6">
        <v>8.2699999999999996E-2</v>
      </c>
      <c r="M6" s="162"/>
      <c r="N6" s="63"/>
      <c r="O6" s="63"/>
      <c r="V6" s="1"/>
    </row>
    <row r="7" spans="1:22" x14ac:dyDescent="0.25">
      <c r="A7" s="1" t="s">
        <v>80</v>
      </c>
      <c r="B7" s="46">
        <f>D7</f>
        <v>117418.33957887876</v>
      </c>
      <c r="C7" s="46">
        <f>((L241*(1+B59)*(((1+B59)^(14)*(1+B65))))/((B42-B65)*((1+B42)^(15)))/(1+B42)^(5))</f>
        <v>145173.37526275622</v>
      </c>
      <c r="D7" s="46">
        <f>AB257</f>
        <v>117418.33957887876</v>
      </c>
      <c r="E7" s="1"/>
      <c r="F7" s="1" t="s">
        <v>302</v>
      </c>
      <c r="H7" s="65" t="s">
        <v>291</v>
      </c>
      <c r="I7">
        <v>2.0899999999999998E-3</v>
      </c>
      <c r="M7" s="162"/>
      <c r="N7" s="63"/>
      <c r="O7" s="63"/>
    </row>
    <row r="8" spans="1:22" x14ac:dyDescent="0.25">
      <c r="A8" s="1" t="s">
        <v>81</v>
      </c>
      <c r="B8" s="46">
        <f>D8</f>
        <v>403353.39248343016</v>
      </c>
      <c r="C8" s="46">
        <f>SUM(C5:C7)</f>
        <v>447611.39844928577</v>
      </c>
      <c r="D8" s="46">
        <f>SUM(D5:D7)</f>
        <v>403353.39248343016</v>
      </c>
      <c r="E8" s="1"/>
      <c r="F8" s="68">
        <v>0</v>
      </c>
      <c r="H8" s="65" t="s">
        <v>292</v>
      </c>
      <c r="I8">
        <v>0.15209</v>
      </c>
      <c r="M8" s="162"/>
      <c r="N8" s="63"/>
      <c r="O8" s="63"/>
    </row>
    <row r="9" spans="1:22" x14ac:dyDescent="0.25">
      <c r="A9" s="1" t="s">
        <v>82</v>
      </c>
      <c r="B9" s="52">
        <f>D9</f>
        <v>63064</v>
      </c>
      <c r="C9" s="52">
        <f>B22-B23-B24+F8+F9</f>
        <v>63064</v>
      </c>
      <c r="D9" s="52">
        <f>B22-B23-B24+F8+F9</f>
        <v>63064</v>
      </c>
      <c r="E9" s="10"/>
      <c r="F9" s="68">
        <v>0</v>
      </c>
      <c r="H9" s="65" t="s">
        <v>293</v>
      </c>
      <c r="I9">
        <v>1.2200000000000001E-2</v>
      </c>
      <c r="M9" s="162"/>
      <c r="N9" s="63"/>
      <c r="O9" s="63"/>
    </row>
    <row r="10" spans="1:22" x14ac:dyDescent="0.25">
      <c r="A10" s="1" t="s">
        <v>83</v>
      </c>
      <c r="B10" s="46">
        <f>B8+B9</f>
        <v>466417.39248343016</v>
      </c>
      <c r="C10" s="46">
        <f>C8+C9</f>
        <v>510675.39844928577</v>
      </c>
      <c r="D10" s="52">
        <f>D8+D9</f>
        <v>466417.39248343016</v>
      </c>
      <c r="E10" s="10"/>
      <c r="F10" s="1"/>
      <c r="H10" s="65" t="s">
        <v>294</v>
      </c>
      <c r="I10">
        <v>8.8900000000000003E-4</v>
      </c>
      <c r="M10" s="163" t="s">
        <v>22</v>
      </c>
      <c r="N10" s="63"/>
      <c r="O10" s="63"/>
    </row>
    <row r="11" spans="1:22" x14ac:dyDescent="0.25">
      <c r="A11" s="1"/>
      <c r="B11" s="52"/>
      <c r="C11" s="1"/>
      <c r="D11" s="1"/>
      <c r="E11" s="10"/>
      <c r="F11" s="1">
        <f>B14*F6*C15</f>
        <v>67</v>
      </c>
      <c r="H11" s="65" t="s">
        <v>295</v>
      </c>
      <c r="I11">
        <v>0.60114800000000002</v>
      </c>
      <c r="M11" s="1"/>
      <c r="N11" s="1"/>
    </row>
    <row r="12" spans="1:22" ht="13.8" x14ac:dyDescent="0.3">
      <c r="A12" t="str">
        <f>"Exchange rate, or 1 if modeled in USD"</f>
        <v>Exchange rate, or 1 if modeled in USD</v>
      </c>
      <c r="B12" s="1">
        <f>IF(Annual!A1="In Millions of EUR (except for per share items)",I4,IF(Annual!A1="In Millions of INR (except for per share items)",I5,IF(Annual!A1="In Millions of MXN (except for per share items)",I6,IF(Annual!A1="In Millions of CLP (except for per share items)",I7,IF(Annual!A1="In Millions of CNY (except for per share items)",I8,IF(Annual!A1="In Millions of JPY (except for per share items)",I9,IF(Annual!A1="In Millions of KRW (except for per share items)",I10,IF(Annual!A1="In Millions of BRL (except for per share items)",I11,IF(Annual!A1="In Millions of CAD (except for per share items)",I12,IF(Annual!A1="In Millions of TWD (except for per share items)",I13,IF(Annual!A1="In Millions of GBP (except for per share items)",I14,1)))))))))))</f>
        <v>1</v>
      </c>
      <c r="C12" s="87" t="str">
        <f>IF(Annual!A1="In Millions of EUR (except for per share items)","EUR",IF(Annual!A1="In Millions of INR (except for per share items)","INR",IF(Annual!A1="In Millions of MXN (except for per share items)","MXN",IF(Annual!A1="In Millions of CLP (except for per share items)","CLP",IF(Annual!A1="In Millions of CNY (except for per share items)","CNY",IF(Annual!A1="In Millions of JPY (except for per share items)","JPY",IF(Annual!A1="In Millions of KRW (except for per share items)","KRW",IF(Annual!A1="In Millions of BRL (except for per share items)","BRL",IF(Annual!A1="In Millions of CAD (except for per share items)","CAD",IF(Annual!A1="In Millions of TWD (except for per share items)","TWD",IF(Annual!A1="In Millions of GBP (except for per share items)","GBP","USD")))))))))))</f>
        <v>USD</v>
      </c>
      <c r="D12" s="1"/>
      <c r="E12" s="10"/>
      <c r="F12" s="1">
        <f>B14*F6</f>
        <v>56</v>
      </c>
      <c r="H12" s="65" t="s">
        <v>296</v>
      </c>
      <c r="I12">
        <v>1.0289999999999999</v>
      </c>
      <c r="M12" s="1"/>
      <c r="N12" s="1"/>
    </row>
    <row r="13" spans="1:22" x14ac:dyDescent="0.25">
      <c r="A13" s="1"/>
      <c r="B13" s="52"/>
      <c r="C13" s="1"/>
      <c r="D13" s="1"/>
      <c r="E13" s="10"/>
      <c r="F13" s="1">
        <f>B14*F6*C16</f>
        <v>45</v>
      </c>
      <c r="H13" s="65" t="s">
        <v>297</v>
      </c>
      <c r="I13">
        <v>3.3779999999999998E-2</v>
      </c>
      <c r="M13" s="1"/>
      <c r="N13" s="1"/>
    </row>
    <row r="14" spans="1:22" x14ac:dyDescent="0.25">
      <c r="A14" s="1" t="s">
        <v>84</v>
      </c>
      <c r="B14" s="69">
        <f>IF(ROUND(B10/B21*B12,0)&lt;0,0,ROUND(B10/B21*B12,0))</f>
        <v>56</v>
      </c>
      <c r="C14" s="1"/>
      <c r="D14" s="138">
        <f>C10/B21</f>
        <v>60.80192861641693</v>
      </c>
      <c r="F14" s="1"/>
      <c r="H14" s="65" t="s">
        <v>298</v>
      </c>
      <c r="I14">
        <v>1.6319999999999999</v>
      </c>
      <c r="M14" s="1"/>
      <c r="N14" s="1"/>
    </row>
    <row r="15" spans="1:22" x14ac:dyDescent="0.25">
      <c r="A15" s="1" t="s">
        <v>85</v>
      </c>
      <c r="B15" s="69">
        <f>ROUND(B14*(1+G475), 0)</f>
        <v>67</v>
      </c>
      <c r="C15" s="29">
        <f>B15/B14</f>
        <v>1.1964285714285714</v>
      </c>
      <c r="D15" s="1"/>
      <c r="E15" s="12">
        <f>ABS((B28-F11)/(B28))</f>
        <v>0.25515174222555259</v>
      </c>
      <c r="F15" s="98" t="s">
        <v>196</v>
      </c>
      <c r="M15" s="1"/>
      <c r="N15" s="1"/>
    </row>
    <row r="16" spans="1:22" x14ac:dyDescent="0.25">
      <c r="A16" s="1" t="s">
        <v>86</v>
      </c>
      <c r="B16" s="69">
        <f>ROUND(B14*(1-G475), 0)</f>
        <v>45</v>
      </c>
      <c r="C16" s="29">
        <f>B16/B14</f>
        <v>0.8035714285714286</v>
      </c>
      <c r="D16" s="1"/>
      <c r="E16" s="12">
        <f>ABS((B28-F13)/B28)</f>
        <v>0.15698763581865871</v>
      </c>
      <c r="F16" s="98" t="s">
        <v>197</v>
      </c>
      <c r="M16" s="1"/>
      <c r="N16" s="1"/>
    </row>
    <row r="17" spans="1:19" x14ac:dyDescent="0.25">
      <c r="A17" s="13"/>
    </row>
    <row r="18" spans="1:19" s="96" customFormat="1" ht="20.100000000000001" customHeight="1" x14ac:dyDescent="0.4">
      <c r="A18" s="93" t="s">
        <v>198</v>
      </c>
      <c r="B18" s="94"/>
      <c r="C18" s="94"/>
      <c r="D18" s="94"/>
      <c r="E18" s="94"/>
      <c r="F18" s="94"/>
      <c r="G18" s="94"/>
      <c r="H18" s="95"/>
      <c r="I18" s="94"/>
      <c r="J18" s="94"/>
      <c r="K18" s="94"/>
      <c r="L18" s="94"/>
      <c r="M18" s="94"/>
      <c r="N18" s="94"/>
    </row>
    <row r="19" spans="1:19" x14ac:dyDescent="0.25">
      <c r="A19" s="13"/>
    </row>
    <row r="20" spans="1:19" x14ac:dyDescent="0.25">
      <c r="A20" s="28" t="s">
        <v>39</v>
      </c>
      <c r="B20" s="1"/>
      <c r="C20" s="1" t="s">
        <v>159</v>
      </c>
      <c r="D20" s="65" t="s">
        <v>160</v>
      </c>
      <c r="E20" s="63"/>
      <c r="F20" s="63"/>
      <c r="K20" s="192" t="s">
        <v>184</v>
      </c>
      <c r="L20" s="193">
        <f>B39</f>
        <v>0.95191977164726027</v>
      </c>
      <c r="M20" s="192"/>
      <c r="N20" s="192"/>
      <c r="O20" s="192" t="s">
        <v>187</v>
      </c>
      <c r="P20" s="192" t="s">
        <v>189</v>
      </c>
      <c r="Q20" s="192" t="s">
        <v>48</v>
      </c>
      <c r="R20" s="192" t="s">
        <v>82</v>
      </c>
      <c r="S20" s="192" t="s">
        <v>188</v>
      </c>
    </row>
    <row r="21" spans="1:19" x14ac:dyDescent="0.25">
      <c r="A21" s="1" t="s">
        <v>37</v>
      </c>
      <c r="B21" s="160">
        <f>IF(C21=0, D21, C21)</f>
        <v>8399</v>
      </c>
      <c r="C21" s="129"/>
      <c r="D21" s="130">
        <f>G182</f>
        <v>8399</v>
      </c>
      <c r="E21" s="64"/>
      <c r="F21" s="63"/>
      <c r="K21" s="192" t="s">
        <v>185</v>
      </c>
      <c r="L21" s="193">
        <f>B40</f>
        <v>4.8080228352739743E-2</v>
      </c>
      <c r="M21" s="192"/>
      <c r="N21" s="192"/>
      <c r="O21" s="194">
        <f>B5</f>
        <v>100945.16044014804</v>
      </c>
      <c r="P21" s="194">
        <f>O21</f>
        <v>100945.16044014804</v>
      </c>
      <c r="Q21" s="194">
        <f t="shared" ref="Q21" si="0">P21</f>
        <v>100945.16044014804</v>
      </c>
      <c r="R21" s="192"/>
      <c r="S21" s="192"/>
    </row>
    <row r="22" spans="1:19" x14ac:dyDescent="0.25">
      <c r="A22" s="1" t="s">
        <v>38</v>
      </c>
      <c r="B22" s="160">
        <f>D22</f>
        <v>85709</v>
      </c>
      <c r="C22" s="77"/>
      <c r="D22" s="68">
        <f>G325</f>
        <v>85709</v>
      </c>
      <c r="E22" s="64"/>
      <c r="F22" s="63"/>
      <c r="K22" s="192" t="s">
        <v>186</v>
      </c>
      <c r="L22" s="193">
        <f>B41</f>
        <v>0</v>
      </c>
      <c r="M22" s="192"/>
      <c r="N22" s="192"/>
      <c r="O22" s="194">
        <f>B6</f>
        <v>184989.89246440335</v>
      </c>
      <c r="P22" s="194">
        <f t="shared" ref="P22:Q23" si="1">O22</f>
        <v>184989.89246440335</v>
      </c>
      <c r="Q22" s="194">
        <f t="shared" si="1"/>
        <v>184989.89246440335</v>
      </c>
      <c r="R22" s="192"/>
      <c r="S22" s="192"/>
    </row>
    <row r="23" spans="1:19" x14ac:dyDescent="0.25">
      <c r="A23" s="1" t="s">
        <v>300</v>
      </c>
      <c r="B23" s="160">
        <f>D23-D28</f>
        <v>22645</v>
      </c>
      <c r="C23" s="77"/>
      <c r="D23" s="68">
        <f>G370</f>
        <v>22645</v>
      </c>
      <c r="E23" s="64"/>
      <c r="F23" s="63"/>
      <c r="K23" s="192"/>
      <c r="L23" s="192"/>
      <c r="M23" s="192"/>
      <c r="N23" s="192"/>
      <c r="O23" s="194">
        <f>B7</f>
        <v>117418.33957887876</v>
      </c>
      <c r="P23" s="194">
        <f t="shared" si="1"/>
        <v>117418.33957887876</v>
      </c>
      <c r="Q23" s="194">
        <f t="shared" si="1"/>
        <v>117418.33957887876</v>
      </c>
      <c r="R23" s="194">
        <f>IF(B10&gt;B8,B8, B10)</f>
        <v>403353.39248343016</v>
      </c>
      <c r="S23" s="192"/>
    </row>
    <row r="24" spans="1:19" x14ac:dyDescent="0.25">
      <c r="A24" s="1" t="s">
        <v>49</v>
      </c>
      <c r="B24" s="160">
        <f>D24</f>
        <v>0</v>
      </c>
      <c r="C24" s="75"/>
      <c r="D24" s="68">
        <f>G385</f>
        <v>0</v>
      </c>
      <c r="E24" s="64"/>
      <c r="F24" s="63"/>
      <c r="K24" s="192"/>
      <c r="L24" s="192"/>
      <c r="M24" s="192"/>
      <c r="N24" s="192"/>
      <c r="O24" s="192"/>
      <c r="P24" s="192"/>
      <c r="Q24" s="192"/>
      <c r="R24" s="194">
        <f>ABS(Q30)</f>
        <v>63064</v>
      </c>
      <c r="S24" s="192"/>
    </row>
    <row r="25" spans="1:19" x14ac:dyDescent="0.25">
      <c r="A25" s="1"/>
      <c r="B25" s="13"/>
      <c r="C25" s="26"/>
      <c r="E25" s="64"/>
      <c r="F25" s="63"/>
      <c r="K25" s="192"/>
      <c r="L25" s="192"/>
      <c r="M25" s="192"/>
      <c r="N25" s="192"/>
      <c r="O25" s="192"/>
      <c r="P25" s="192"/>
      <c r="Q25" s="192"/>
      <c r="R25" s="194"/>
      <c r="S25" s="194">
        <f>Q29</f>
        <v>466417.39248343016</v>
      </c>
    </row>
    <row r="26" spans="1:19" x14ac:dyDescent="0.25">
      <c r="A26" s="27" t="s">
        <v>76</v>
      </c>
      <c r="B26" s="13"/>
      <c r="C26" s="26"/>
      <c r="E26" s="64"/>
      <c r="F26" s="63"/>
      <c r="K26" s="192"/>
      <c r="L26" s="192"/>
      <c r="M26" s="192"/>
      <c r="N26" s="192"/>
      <c r="O26" s="192"/>
      <c r="P26" s="192"/>
      <c r="Q26" s="192"/>
      <c r="R26" s="192"/>
      <c r="S26" s="192"/>
    </row>
    <row r="27" spans="1:19" x14ac:dyDescent="0.25">
      <c r="A27" s="1" t="s">
        <v>162</v>
      </c>
      <c r="B27" s="79">
        <v>4.3161000000000005E-2</v>
      </c>
      <c r="C27" s="82"/>
      <c r="D27" s="143" t="s">
        <v>301</v>
      </c>
      <c r="E27" s="26"/>
      <c r="F27" s="26"/>
      <c r="K27" s="192"/>
      <c r="L27" s="192"/>
      <c r="M27" s="192"/>
      <c r="N27" s="192"/>
      <c r="O27" s="192"/>
      <c r="P27" s="192"/>
      <c r="Q27" s="192"/>
      <c r="R27" s="194"/>
      <c r="S27" s="192"/>
    </row>
    <row r="28" spans="1:19" x14ac:dyDescent="0.25">
      <c r="A28" s="1" t="s">
        <v>118</v>
      </c>
      <c r="B28" s="55">
        <v>53.38</v>
      </c>
      <c r="C28" s="26"/>
      <c r="D28" s="77">
        <v>0</v>
      </c>
      <c r="E28" s="26"/>
      <c r="F28" s="26"/>
      <c r="K28" s="192"/>
      <c r="L28" s="192"/>
      <c r="M28" s="192"/>
      <c r="N28" s="192"/>
      <c r="O28" s="194">
        <f>B8</f>
        <v>403353.39248343016</v>
      </c>
      <c r="P28" s="194">
        <f>O28</f>
        <v>403353.39248343016</v>
      </c>
      <c r="Q28" s="194">
        <f>P28</f>
        <v>403353.39248343016</v>
      </c>
      <c r="R28" s="192"/>
      <c r="S28" s="192"/>
    </row>
    <row r="29" spans="1:19" x14ac:dyDescent="0.25">
      <c r="A29" s="1" t="s">
        <v>52</v>
      </c>
      <c r="B29" s="92">
        <f>B28*B21</f>
        <v>448338.62</v>
      </c>
      <c r="C29" s="82"/>
      <c r="D29" s="81"/>
      <c r="E29" s="26"/>
      <c r="F29" s="26"/>
      <c r="K29" s="192"/>
      <c r="L29" s="192"/>
      <c r="M29" s="192"/>
      <c r="N29" s="192"/>
      <c r="O29" s="194">
        <f>O28+O30</f>
        <v>466417.39248343016</v>
      </c>
      <c r="P29" s="194">
        <f>P28+P30</f>
        <v>466417.39248343016</v>
      </c>
      <c r="Q29" s="194">
        <f>Q28+Q30</f>
        <v>466417.39248343016</v>
      </c>
      <c r="R29" s="192"/>
      <c r="S29" s="192"/>
    </row>
    <row r="30" spans="1:19" x14ac:dyDescent="0.25">
      <c r="A30" s="1" t="s">
        <v>51</v>
      </c>
      <c r="B30" s="92">
        <f>B23-D28</f>
        <v>22645</v>
      </c>
      <c r="C30" s="26"/>
      <c r="D30" s="190" t="str">
        <f>IF(B30&lt;0, "DEBT IS NEGATIVE", "")</f>
        <v/>
      </c>
      <c r="E30" s="26"/>
      <c r="F30" s="26"/>
      <c r="K30" s="192"/>
      <c r="L30" s="192"/>
      <c r="M30" s="192"/>
      <c r="N30" s="192"/>
      <c r="O30" s="194">
        <f>B9</f>
        <v>63064</v>
      </c>
      <c r="P30" s="194">
        <f>O30</f>
        <v>63064</v>
      </c>
      <c r="Q30" s="194">
        <f>P30</f>
        <v>63064</v>
      </c>
      <c r="R30" s="192"/>
      <c r="S30" s="192"/>
    </row>
    <row r="31" spans="1:19" x14ac:dyDescent="0.25">
      <c r="A31" s="1" t="s">
        <v>53</v>
      </c>
      <c r="B31" s="108">
        <f>B24</f>
        <v>0</v>
      </c>
      <c r="C31" s="26"/>
      <c r="D31" s="26"/>
      <c r="E31" s="26"/>
      <c r="F31" s="26"/>
      <c r="K31" s="192"/>
      <c r="L31" s="192"/>
      <c r="M31" s="192"/>
      <c r="N31" s="192"/>
      <c r="O31" s="194">
        <f>B10</f>
        <v>466417.39248343016</v>
      </c>
      <c r="P31" s="194">
        <f>O31</f>
        <v>466417.39248343016</v>
      </c>
      <c r="Q31" s="192"/>
      <c r="R31" s="192"/>
      <c r="S31" s="192"/>
    </row>
    <row r="32" spans="1:19" x14ac:dyDescent="0.25">
      <c r="A32" s="1" t="s">
        <v>73</v>
      </c>
      <c r="B32" s="92">
        <f>SUM(B29:B31)</f>
        <v>470983.62</v>
      </c>
      <c r="C32" s="26"/>
      <c r="D32" s="26"/>
      <c r="E32" s="26"/>
      <c r="F32" s="26"/>
      <c r="K32" s="192"/>
      <c r="L32" s="192"/>
      <c r="M32" s="192"/>
      <c r="N32" s="192"/>
      <c r="O32" s="194">
        <f>B14</f>
        <v>56</v>
      </c>
      <c r="P32" s="194">
        <f>O32</f>
        <v>56</v>
      </c>
      <c r="Q32" s="192"/>
      <c r="R32" s="192"/>
      <c r="S32" s="192"/>
    </row>
    <row r="33" spans="1:19" x14ac:dyDescent="0.25">
      <c r="A33" s="1" t="s">
        <v>54</v>
      </c>
      <c r="B33" s="43">
        <f>G479</f>
        <v>9.8410999999999998E-2</v>
      </c>
      <c r="C33" s="26"/>
      <c r="D33" s="26"/>
      <c r="E33" s="26"/>
      <c r="F33" s="26"/>
      <c r="K33" s="192"/>
      <c r="L33" s="192"/>
      <c r="M33" s="192"/>
      <c r="N33" s="192"/>
      <c r="O33" s="194">
        <f>B15</f>
        <v>67</v>
      </c>
      <c r="P33" s="194">
        <f>O33</f>
        <v>67</v>
      </c>
      <c r="Q33" s="192"/>
      <c r="R33" s="192"/>
      <c r="S33" s="192"/>
    </row>
    <row r="34" spans="1:19" ht="20.100000000000001" customHeight="1" x14ac:dyDescent="0.4">
      <c r="A34" s="173" t="s">
        <v>68</v>
      </c>
      <c r="B34" s="174">
        <f>G458</f>
        <v>1.2166666666666668E-2</v>
      </c>
      <c r="C34" s="26"/>
      <c r="D34" s="188" t="str">
        <f>IF(L325&lt;0, "CASH IS NEGATIVE", "")</f>
        <v/>
      </c>
      <c r="E34" s="26"/>
      <c r="F34" s="26"/>
      <c r="K34" s="192"/>
      <c r="L34" s="192"/>
      <c r="M34" s="192"/>
      <c r="N34" s="192"/>
      <c r="O34" s="194">
        <f>B16</f>
        <v>45</v>
      </c>
      <c r="P34" s="194">
        <f>O34</f>
        <v>45</v>
      </c>
      <c r="Q34" s="192"/>
      <c r="R34" s="192"/>
      <c r="S34" s="192"/>
    </row>
    <row r="35" spans="1:19" x14ac:dyDescent="0.25">
      <c r="A35" s="1" t="s">
        <v>88</v>
      </c>
      <c r="B35" s="161" t="s">
        <v>284</v>
      </c>
      <c r="C35" s="26"/>
      <c r="D35" s="26"/>
      <c r="E35" s="26"/>
      <c r="F35" s="26"/>
      <c r="M35" s="1"/>
      <c r="N35" s="1"/>
    </row>
    <row r="36" spans="1:19" x14ac:dyDescent="0.25">
      <c r="A36" s="1" t="s">
        <v>55</v>
      </c>
      <c r="B36" s="43">
        <f>B27+B34</f>
        <v>5.5327666666666671E-2</v>
      </c>
      <c r="C36" s="26"/>
      <c r="D36" s="26"/>
      <c r="E36" s="26"/>
      <c r="F36" s="26"/>
      <c r="M36" s="1"/>
      <c r="N36" s="1"/>
    </row>
    <row r="37" spans="1:19" x14ac:dyDescent="0.25">
      <c r="A37" s="1" t="s">
        <v>56</v>
      </c>
      <c r="B37" s="43">
        <f>B36*(1-B51)</f>
        <v>4.3900176635514022E-2</v>
      </c>
      <c r="C37" s="26"/>
      <c r="D37" s="26"/>
      <c r="E37" s="26"/>
      <c r="F37" s="26"/>
      <c r="M37" s="1"/>
      <c r="N37" s="1"/>
    </row>
    <row r="38" spans="1:19" x14ac:dyDescent="0.25">
      <c r="A38" s="1" t="s">
        <v>58</v>
      </c>
      <c r="B38" s="43">
        <f>C38</f>
        <v>0</v>
      </c>
      <c r="C38" s="76">
        <f>IF(ISERROR(D37*4/SUM(C25:C26)), 0, D37*4/SUM(C25:C26))</f>
        <v>0</v>
      </c>
      <c r="D38" s="26"/>
      <c r="E38" s="26"/>
      <c r="F38" s="26"/>
      <c r="M38" s="1"/>
      <c r="N38" s="1"/>
    </row>
    <row r="39" spans="1:19" x14ac:dyDescent="0.25">
      <c r="A39" s="1" t="s">
        <v>57</v>
      </c>
      <c r="B39" s="43">
        <f>B29/B32</f>
        <v>0.95191977164726027</v>
      </c>
      <c r="C39" s="26"/>
      <c r="D39" s="26"/>
      <c r="E39" s="26"/>
      <c r="F39" s="26"/>
      <c r="M39" s="1"/>
      <c r="N39" s="1"/>
    </row>
    <row r="40" spans="1:19" x14ac:dyDescent="0.25">
      <c r="A40" s="1" t="s">
        <v>74</v>
      </c>
      <c r="B40" s="43">
        <f>B30/B32</f>
        <v>4.8080228352739743E-2</v>
      </c>
      <c r="C40" s="26"/>
      <c r="D40" s="26"/>
      <c r="E40" s="26"/>
      <c r="F40" s="26"/>
      <c r="M40" s="1"/>
      <c r="N40" s="1"/>
    </row>
    <row r="41" spans="1:19" x14ac:dyDescent="0.25">
      <c r="A41" s="1" t="s">
        <v>75</v>
      </c>
      <c r="B41" s="43">
        <f>B31/B32</f>
        <v>0</v>
      </c>
      <c r="C41" s="26"/>
      <c r="D41" s="26"/>
      <c r="E41" s="26"/>
      <c r="F41" s="26"/>
      <c r="M41" s="1"/>
      <c r="N41" s="1"/>
    </row>
    <row r="42" spans="1:19" x14ac:dyDescent="0.25">
      <c r="A42" s="1" t="s">
        <v>76</v>
      </c>
      <c r="B42" s="43">
        <f>B39*B33+B40*B37+B41*B38</f>
        <v>9.5790107164939658E-2</v>
      </c>
      <c r="C42" s="26"/>
      <c r="D42" s="26"/>
      <c r="E42" s="26"/>
      <c r="F42" s="26"/>
      <c r="I42" s="66"/>
      <c r="J42" s="66"/>
      <c r="K42" s="66"/>
      <c r="L42" s="66"/>
      <c r="M42" s="66"/>
      <c r="N42" s="1"/>
    </row>
    <row r="43" spans="1:19" x14ac:dyDescent="0.25">
      <c r="A43" s="1"/>
      <c r="B43" s="43"/>
      <c r="C43" s="26"/>
      <c r="D43" s="26"/>
      <c r="E43" s="26"/>
      <c r="F43" s="26"/>
      <c r="I43" s="66"/>
      <c r="J43" s="66"/>
      <c r="K43" s="66"/>
      <c r="L43" s="66"/>
      <c r="M43" s="66"/>
      <c r="N43" s="1"/>
    </row>
    <row r="44" spans="1:19" s="96" customFormat="1" ht="20.100000000000001" customHeight="1" x14ac:dyDescent="0.4">
      <c r="A44" s="93" t="s">
        <v>199</v>
      </c>
      <c r="B44" s="94"/>
      <c r="C44" s="94"/>
      <c r="D44" s="94"/>
      <c r="E44" s="94"/>
      <c r="F44" s="94"/>
      <c r="G44" s="94"/>
      <c r="H44" s="95"/>
      <c r="I44" s="94"/>
      <c r="J44" s="94"/>
      <c r="K44" s="94"/>
      <c r="L44" s="94"/>
      <c r="M44" s="94"/>
      <c r="N44" s="94"/>
    </row>
    <row r="45" spans="1:19" ht="26.4" x14ac:dyDescent="0.25">
      <c r="A45" s="24"/>
      <c r="B45" s="1"/>
      <c r="C45" s="26" t="s">
        <v>36</v>
      </c>
      <c r="D45" s="73" t="s">
        <v>156</v>
      </c>
      <c r="E45" s="26" t="s">
        <v>43</v>
      </c>
      <c r="F45" s="26" t="s">
        <v>200</v>
      </c>
      <c r="J45" s="65" t="s">
        <v>190</v>
      </c>
      <c r="K45" s="73"/>
      <c r="L45" s="73"/>
      <c r="M45" s="1"/>
      <c r="N45" s="1"/>
    </row>
    <row r="46" spans="1:19" x14ac:dyDescent="0.25">
      <c r="A46" s="28" t="s">
        <v>40</v>
      </c>
      <c r="B46" s="13"/>
      <c r="C46" s="26"/>
      <c r="E46" s="26"/>
      <c r="F46" s="26"/>
      <c r="J46">
        <f>(G70/D70)^(1/3)-1</f>
        <v>7.4765003592947243E-2</v>
      </c>
      <c r="K46" s="84" t="s">
        <v>191</v>
      </c>
      <c r="M46" s="1"/>
      <c r="N46" s="1"/>
    </row>
    <row r="47" spans="1:19" x14ac:dyDescent="0.25">
      <c r="A47" s="1" t="s">
        <v>138</v>
      </c>
      <c r="B47" s="43">
        <f>AVERAGE(H72:L72)</f>
        <v>4.734E-2</v>
      </c>
      <c r="C47" s="52">
        <f>G70</f>
        <v>86833</v>
      </c>
      <c r="D47" s="43"/>
      <c r="E47" s="5">
        <f>G72</f>
        <v>0.11540289534868786</v>
      </c>
      <c r="F47" s="5">
        <f>(G70/D70)^(1/3)-1</f>
        <v>7.4765003592947243E-2</v>
      </c>
      <c r="G47" s="65" t="str">
        <f>IF(B47&lt;F47, "lower", "higher")</f>
        <v>lower</v>
      </c>
      <c r="H47" s="74">
        <f>IF(ISERROR(IF(((1+((G70-D70)/G70))^(1/3)-1)&lt;B65,B65,(1+((G70-D70)/G70))^(1/3)-1)),B65,IF(((1+((G70-D70)/G70))^(1/3)-1)&lt;B65,B65,(1+((G70-D70)/G70))^(1/3)-1))</f>
        <v>6.1035923110236201E-2</v>
      </c>
      <c r="J47">
        <f>(G107/D107)^(1/3)-1</f>
        <v>3.4140442721272368E-2</v>
      </c>
      <c r="K47" s="65" t="s">
        <v>29</v>
      </c>
      <c r="M47" s="1"/>
      <c r="N47" s="1"/>
    </row>
    <row r="48" spans="1:19" x14ac:dyDescent="0.25">
      <c r="A48" s="1" t="s">
        <v>1</v>
      </c>
      <c r="B48" s="43">
        <f>AVERAGE(H78:L78)</f>
        <v>0.31605670884726123</v>
      </c>
      <c r="C48" s="52">
        <f>G77</f>
        <v>26934</v>
      </c>
      <c r="D48" s="5"/>
      <c r="E48" s="5">
        <f>G78</f>
        <v>0.31018161298123986</v>
      </c>
      <c r="F48" s="5">
        <f>AVERAGE(C78:G78)</f>
        <v>0.25769490109814536</v>
      </c>
      <c r="H48" s="5"/>
      <c r="J48">
        <f>(G156/D156)^(1/3)-1</f>
        <v>-1.5739595670109296E-2</v>
      </c>
      <c r="K48" s="65" t="s">
        <v>192</v>
      </c>
      <c r="M48" s="1"/>
      <c r="N48" s="1"/>
    </row>
    <row r="49" spans="1:14" x14ac:dyDescent="0.25">
      <c r="A49" s="1" t="s">
        <v>158</v>
      </c>
      <c r="B49" s="43">
        <f>AVERAGE(H87:L87)</f>
        <v>0.24465144490000351</v>
      </c>
      <c r="C49" s="52">
        <f>G86</f>
        <v>20632</v>
      </c>
      <c r="D49" s="5"/>
      <c r="E49" s="5">
        <f>G87</f>
        <v>0.23760551863922702</v>
      </c>
      <c r="F49" s="5">
        <f>AVERAGE(E87:G87)</f>
        <v>0.24996932600653374</v>
      </c>
      <c r="H49" s="43"/>
      <c r="M49" s="1"/>
      <c r="N49" s="1"/>
    </row>
    <row r="50" spans="1:14" x14ac:dyDescent="0.25">
      <c r="A50" s="1" t="str">
        <f>A93</f>
        <v>Other Operating Expenses (including R&amp;D), ex unusual items, % of Total Revenue</v>
      </c>
      <c r="B50" s="43">
        <f>AVERAGE(H93:L93)</f>
        <v>0.13199893827098388</v>
      </c>
      <c r="C50" s="52">
        <f>G92</f>
        <v>11381</v>
      </c>
      <c r="D50" s="5"/>
      <c r="E50" s="5">
        <f>G93</f>
        <v>0.13106768164177213</v>
      </c>
      <c r="F50" s="5">
        <f>AVERAGE(E93:G93)</f>
        <v>0.1326267211610877</v>
      </c>
      <c r="H50" s="13"/>
      <c r="I50" s="65"/>
      <c r="M50" s="1"/>
      <c r="N50" s="1"/>
    </row>
    <row r="51" spans="1:14" x14ac:dyDescent="0.25">
      <c r="A51" s="1" t="s">
        <v>108</v>
      </c>
      <c r="B51" s="140">
        <f>E51</f>
        <v>0.20654205607476636</v>
      </c>
      <c r="C51" s="52"/>
      <c r="D51" s="5"/>
      <c r="E51" s="5">
        <f>G143</f>
        <v>0.20654205607476636</v>
      </c>
      <c r="F51" s="5">
        <f>AVERAGE(E143:G143)</f>
        <v>0.21196140088200813</v>
      </c>
      <c r="H51" s="13"/>
      <c r="M51" s="1"/>
      <c r="N51" s="1"/>
    </row>
    <row r="52" spans="1:14" ht="20.100000000000001" customHeight="1" x14ac:dyDescent="0.35">
      <c r="A52" s="1" t="s">
        <v>128</v>
      </c>
      <c r="B52" s="185">
        <f>E52</f>
        <v>-8.3825265643447944E-3</v>
      </c>
      <c r="C52" s="52">
        <f>G180</f>
        <v>8399</v>
      </c>
      <c r="D52" s="5"/>
      <c r="E52" s="5">
        <f>G181</f>
        <v>-8.3825265643447944E-3</v>
      </c>
      <c r="F52" s="5">
        <f>AVERAGE(E181:G181)</f>
        <v>-7.5797843765170363E-3</v>
      </c>
      <c r="H52" s="13"/>
      <c r="M52" s="1"/>
      <c r="N52" s="1"/>
    </row>
    <row r="53" spans="1:14" x14ac:dyDescent="0.25">
      <c r="A53" s="1" t="s">
        <v>269</v>
      </c>
      <c r="B53" s="43">
        <f>AVERAGE(H72:L72)</f>
        <v>4.734E-2</v>
      </c>
      <c r="C53" s="52">
        <f>G197</f>
        <v>5485</v>
      </c>
      <c r="D53" s="5">
        <f>B47</f>
        <v>4.734E-2</v>
      </c>
      <c r="E53" s="5">
        <f>G344</f>
        <v>0.30227204484035641</v>
      </c>
      <c r="F53" s="5">
        <f>AVERAGE(E344:G344)</f>
        <v>0.1745430829486232</v>
      </c>
      <c r="G53" s="65" t="s">
        <v>232</v>
      </c>
      <c r="H53" s="43"/>
      <c r="N53" s="1"/>
    </row>
    <row r="54" spans="1:14" x14ac:dyDescent="0.25">
      <c r="A54" s="1" t="s">
        <v>17</v>
      </c>
      <c r="B54" s="43">
        <f>E54</f>
        <v>6.0023263045155643E-2</v>
      </c>
      <c r="C54" s="52">
        <f>G95</f>
        <v>5212</v>
      </c>
      <c r="D54" s="5"/>
      <c r="E54" s="5">
        <f>G96</f>
        <v>6.0023263045155643E-2</v>
      </c>
      <c r="F54" s="5">
        <f>AVERAGE(E96:G96)</f>
        <v>4.9500969289433878E-2</v>
      </c>
      <c r="N54" s="1"/>
    </row>
    <row r="55" spans="1:14" x14ac:dyDescent="0.25">
      <c r="A55" s="1" t="s">
        <v>50</v>
      </c>
      <c r="B55" s="140">
        <f>G221+(($L$221-$G$221)/5)</f>
        <v>0.13161493090539272</v>
      </c>
      <c r="C55" s="52">
        <f>G220</f>
        <v>11358</v>
      </c>
      <c r="D55" s="5"/>
      <c r="E55" s="5">
        <f>G221</f>
        <v>0.13080280538504946</v>
      </c>
      <c r="F55" s="5">
        <f>AVERAGE(E221:G221)</f>
        <v>0.13830815701814728</v>
      </c>
      <c r="N55" s="1"/>
    </row>
    <row r="56" spans="1:14" x14ac:dyDescent="0.25">
      <c r="A56" s="1"/>
      <c r="B56" s="1"/>
      <c r="C56" s="1"/>
      <c r="D56" s="1"/>
      <c r="E56" s="1"/>
      <c r="N56" s="1"/>
    </row>
    <row r="57" spans="1:14" ht="26.4" x14ac:dyDescent="0.25">
      <c r="A57" s="1"/>
      <c r="B57" s="1"/>
      <c r="C57" s="26" t="s">
        <v>42</v>
      </c>
      <c r="D57" s="1" t="s">
        <v>44</v>
      </c>
      <c r="E57" s="26" t="s">
        <v>9</v>
      </c>
      <c r="M57" s="1"/>
      <c r="N57" s="1"/>
    </row>
    <row r="58" spans="1:14" x14ac:dyDescent="0.25">
      <c r="A58" s="27" t="s">
        <v>41</v>
      </c>
      <c r="B58" s="1"/>
      <c r="C58" s="6"/>
      <c r="D58" s="5"/>
      <c r="E58" s="1"/>
      <c r="M58" s="1"/>
      <c r="N58" s="1"/>
    </row>
    <row r="59" spans="1:14" x14ac:dyDescent="0.25">
      <c r="A59" s="1" t="s">
        <v>272</v>
      </c>
      <c r="B59" s="7">
        <f>L72</f>
        <v>0.04</v>
      </c>
      <c r="C59" s="6">
        <f>L241</f>
        <v>32081.728535575814</v>
      </c>
      <c r="D59" s="5">
        <f>L242</f>
        <v>6.6179486345192995E-2</v>
      </c>
      <c r="E59" s="5">
        <f>AVERAGE(H242:L242)</f>
        <v>4.0476586831605862E-2</v>
      </c>
      <c r="M59" s="1"/>
      <c r="N59" s="1"/>
    </row>
    <row r="60" spans="1:14" x14ac:dyDescent="0.25">
      <c r="A60" s="1" t="s">
        <v>282</v>
      </c>
      <c r="B60" s="43">
        <f>AA259</f>
        <v>2.6795766324718251E-2</v>
      </c>
      <c r="C60" s="6">
        <f>L255</f>
        <v>31430.100501754328</v>
      </c>
      <c r="D60" s="5">
        <f>L256</f>
        <v>8.2491801354683814E-2</v>
      </c>
      <c r="E60" s="5"/>
      <c r="H60" s="65" t="s">
        <v>303</v>
      </c>
      <c r="M60" s="1"/>
      <c r="N60" s="1"/>
    </row>
    <row r="61" spans="1:14" x14ac:dyDescent="0.25">
      <c r="A61" s="1" t="s">
        <v>273</v>
      </c>
      <c r="B61" s="5">
        <f>L251</f>
        <v>2.0311500145601232E-2</v>
      </c>
      <c r="C61" s="98" t="s">
        <v>275</v>
      </c>
      <c r="D61" s="5">
        <f>AA251</f>
        <v>0.13049364250607237</v>
      </c>
      <c r="E61" s="1"/>
      <c r="F61" s="1"/>
      <c r="H61" s="172">
        <v>6.7699999999999996E-2</v>
      </c>
      <c r="I61" s="172">
        <v>-1.7999999999999999E-2</v>
      </c>
      <c r="M61" s="1"/>
      <c r="N61" s="1"/>
    </row>
    <row r="62" spans="1:14" x14ac:dyDescent="0.25">
      <c r="A62" s="1" t="s">
        <v>274</v>
      </c>
      <c r="B62" s="5">
        <f>B59/B61</f>
        <v>1.9693277066323738</v>
      </c>
      <c r="C62" s="98" t="s">
        <v>275</v>
      </c>
      <c r="D62" s="5">
        <f>AA253</f>
        <v>9.5790107164939658E-2</v>
      </c>
      <c r="E62" s="1"/>
      <c r="F62" s="1"/>
      <c r="H62" s="65" t="s">
        <v>304</v>
      </c>
      <c r="M62" s="1"/>
      <c r="N62" s="1"/>
    </row>
    <row r="63" spans="1:14" x14ac:dyDescent="0.25">
      <c r="B63" s="1"/>
      <c r="C63" s="1"/>
      <c r="D63" s="1"/>
      <c r="E63" s="1"/>
      <c r="F63" s="1"/>
      <c r="H63" s="170">
        <v>2.44</v>
      </c>
      <c r="I63" s="171">
        <v>2.69</v>
      </c>
      <c r="J63" s="189" t="str">
        <f>IF(H63/H184-1&gt;0.1, "CHECK EPS", "")</f>
        <v/>
      </c>
      <c r="M63" s="1"/>
      <c r="N63" s="1"/>
    </row>
    <row r="64" spans="1:14" x14ac:dyDescent="0.25">
      <c r="A64" s="27" t="s">
        <v>48</v>
      </c>
      <c r="B64" s="1"/>
      <c r="C64" s="1"/>
      <c r="D64" s="1"/>
      <c r="E64" s="1"/>
      <c r="F64" s="1"/>
      <c r="M64" s="1"/>
      <c r="N64" s="1"/>
    </row>
    <row r="65" spans="1:18" x14ac:dyDescent="0.25">
      <c r="A65" s="1" t="s">
        <v>164</v>
      </c>
      <c r="B65" s="15">
        <v>0.03</v>
      </c>
      <c r="C65" s="1" t="s">
        <v>165</v>
      </c>
      <c r="D65" s="1"/>
      <c r="E65" s="1"/>
      <c r="F65" s="1"/>
      <c r="M65" s="1"/>
      <c r="N65" s="1"/>
    </row>
    <row r="66" spans="1:18" x14ac:dyDescent="0.25">
      <c r="A66" s="27"/>
      <c r="B66" s="1"/>
      <c r="C66" s="1"/>
      <c r="D66" s="1"/>
      <c r="E66" s="1"/>
      <c r="F66" s="1"/>
      <c r="M66" s="1"/>
      <c r="N66" s="1"/>
    </row>
    <row r="67" spans="1:18" s="96" customFormat="1" ht="20.100000000000001" customHeight="1" x14ac:dyDescent="0.4">
      <c r="A67" s="93" t="s">
        <v>193</v>
      </c>
      <c r="B67" s="94"/>
      <c r="C67" s="94"/>
      <c r="D67" s="94"/>
      <c r="E67" s="94"/>
      <c r="F67" s="94"/>
      <c r="G67" s="94"/>
      <c r="H67" s="95"/>
      <c r="I67" s="94"/>
      <c r="J67" s="94"/>
      <c r="K67" s="94"/>
      <c r="L67" s="94"/>
      <c r="M67" s="94"/>
      <c r="N67" s="94"/>
    </row>
    <row r="68" spans="1:18" x14ac:dyDescent="0.25">
      <c r="A68" s="164" t="s">
        <v>400</v>
      </c>
      <c r="B68" s="1"/>
      <c r="C68" s="1"/>
      <c r="D68" s="166">
        <f>E68-1</f>
        <v>42181</v>
      </c>
      <c r="E68" s="166">
        <f>F68-1</f>
        <v>42182</v>
      </c>
      <c r="F68" s="166">
        <f>G68-1</f>
        <v>42183</v>
      </c>
      <c r="G68" s="166">
        <f>H69-1</f>
        <v>42184</v>
      </c>
      <c r="H68" s="2" t="s">
        <v>4</v>
      </c>
      <c r="I68" s="2" t="s">
        <v>5</v>
      </c>
      <c r="J68" s="2" t="s">
        <v>6</v>
      </c>
      <c r="K68" s="2" t="s">
        <v>7</v>
      </c>
      <c r="L68" s="2" t="s">
        <v>8</v>
      </c>
      <c r="M68" s="2" t="s">
        <v>200</v>
      </c>
      <c r="N68" s="2" t="s">
        <v>201</v>
      </c>
    </row>
    <row r="69" spans="1:18" x14ac:dyDescent="0.25">
      <c r="A69" s="3" t="s">
        <v>3</v>
      </c>
      <c r="B69" s="36"/>
      <c r="C69" s="13"/>
      <c r="D69" s="145">
        <f>Annual!E146</f>
        <v>40724</v>
      </c>
      <c r="E69" s="145">
        <f>Annual!D146</f>
        <v>41090</v>
      </c>
      <c r="F69" s="145">
        <f>Annual!C146</f>
        <v>41455</v>
      </c>
      <c r="G69" s="145">
        <f>Annual!B146</f>
        <v>41820</v>
      </c>
      <c r="H69" s="165">
        <f>G69+365</f>
        <v>42185</v>
      </c>
      <c r="I69" s="165">
        <f>H69+365</f>
        <v>42550</v>
      </c>
      <c r="J69" s="165">
        <f t="shared" ref="J69:L69" si="2">I69+365</f>
        <v>42915</v>
      </c>
      <c r="K69" s="165">
        <f t="shared" si="2"/>
        <v>43280</v>
      </c>
      <c r="L69" s="165">
        <f t="shared" si="2"/>
        <v>43645</v>
      </c>
      <c r="M69" s="30"/>
      <c r="N69" s="10"/>
    </row>
    <row r="70" spans="1:18" x14ac:dyDescent="0.25">
      <c r="A70" s="8" t="s">
        <v>0</v>
      </c>
      <c r="B70" s="37"/>
      <c r="C70" s="38"/>
      <c r="D70" s="146">
        <f>VLOOKUP(A70,Annual!$A$146:$E$213, 5,0)</f>
        <v>69943</v>
      </c>
      <c r="E70" s="146">
        <f>VLOOKUP(A70,Annual!$A$146:$E$213, 4,0)</f>
        <v>73723</v>
      </c>
      <c r="F70" s="146">
        <f>VLOOKUP(A70,Annual!$A$146:$E$213, 3,0)</f>
        <v>77849</v>
      </c>
      <c r="G70" s="146">
        <f>VLOOKUP(A70,Annual!$A$146:$E$213, 2,0)</f>
        <v>86833</v>
      </c>
      <c r="H70" s="157">
        <f>G70*(1+H72)</f>
        <v>93579.924100000004</v>
      </c>
      <c r="I70" s="157">
        <f>H70*(1+I72)</f>
        <v>92831.2847072</v>
      </c>
      <c r="J70" s="157">
        <f>I70*(1+J72)</f>
        <v>99515.137206118408</v>
      </c>
      <c r="K70" s="157">
        <f>J70*(1+K72)</f>
        <v>104988.46975245491</v>
      </c>
      <c r="L70" s="157">
        <f>K70*(1+L72)</f>
        <v>109188.00854255311</v>
      </c>
      <c r="M70" s="22"/>
      <c r="N70" s="10"/>
      <c r="R70" s="66"/>
    </row>
    <row r="71" spans="1:18" x14ac:dyDescent="0.25">
      <c r="A71" s="10" t="s">
        <v>261</v>
      </c>
      <c r="B71" s="18"/>
      <c r="C71" s="22"/>
      <c r="D71" s="54"/>
      <c r="E71" s="54"/>
      <c r="F71" s="54"/>
      <c r="G71" s="54"/>
      <c r="H71" s="103" t="b">
        <v>0</v>
      </c>
      <c r="I71" s="103" t="b">
        <v>0</v>
      </c>
      <c r="J71" s="54"/>
      <c r="K71" s="54"/>
      <c r="L71" s="54"/>
      <c r="M71" s="22"/>
      <c r="N71" s="10"/>
      <c r="R71" s="66"/>
    </row>
    <row r="72" spans="1:18" x14ac:dyDescent="0.25">
      <c r="A72" s="9" t="s">
        <v>306</v>
      </c>
      <c r="B72" s="39"/>
      <c r="C72" s="40"/>
      <c r="D72" s="40"/>
      <c r="E72" s="40">
        <f>E70/D70-1</f>
        <v>5.4044007263057026E-2</v>
      </c>
      <c r="F72" s="40">
        <f>F70/E70-1</f>
        <v>5.5966252051598442E-2</v>
      </c>
      <c r="G72" s="40">
        <f>G70/F70-1</f>
        <v>0.11540289534868786</v>
      </c>
      <c r="H72" s="134">
        <f>H61+H73</f>
        <v>7.7699999999999991E-2</v>
      </c>
      <c r="I72" s="134">
        <f>I61+I73</f>
        <v>-7.9999999999999984E-3</v>
      </c>
      <c r="J72" s="134">
        <v>7.1999999999999995E-2</v>
      </c>
      <c r="K72" s="134">
        <v>5.5E-2</v>
      </c>
      <c r="L72" s="134">
        <v>0.04</v>
      </c>
      <c r="M72" s="16">
        <f>AVERAGE(E72:G72)</f>
        <v>7.5137718221114438E-2</v>
      </c>
      <c r="N72" s="12">
        <f>AVERAGE(H72:L72)</f>
        <v>4.734E-2</v>
      </c>
    </row>
    <row r="73" spans="1:18" x14ac:dyDescent="0.25">
      <c r="A73" s="1"/>
      <c r="B73" s="13"/>
      <c r="C73" s="13"/>
      <c r="D73" s="1"/>
      <c r="E73" s="1"/>
      <c r="F73" s="1"/>
      <c r="G73" s="1" t="s">
        <v>307</v>
      </c>
      <c r="H73" s="1">
        <v>0.01</v>
      </c>
      <c r="I73" s="1">
        <v>0.01</v>
      </c>
      <c r="J73" s="1"/>
      <c r="K73" s="1"/>
      <c r="L73" s="1"/>
      <c r="M73" s="18"/>
      <c r="N73" s="10"/>
    </row>
    <row r="74" spans="1:18" x14ac:dyDescent="0.25">
      <c r="A74" s="1" t="s">
        <v>244</v>
      </c>
      <c r="B74" s="13"/>
      <c r="C74" s="13"/>
      <c r="D74" s="46">
        <f>D70</f>
        <v>69943</v>
      </c>
      <c r="E74" s="46">
        <f t="shared" ref="E74:G74" si="3">E70</f>
        <v>73723</v>
      </c>
      <c r="F74" s="46">
        <f t="shared" si="3"/>
        <v>77849</v>
      </c>
      <c r="G74" s="46">
        <f t="shared" si="3"/>
        <v>86833</v>
      </c>
      <c r="H74" s="46">
        <f>H70*(1+D462)</f>
        <v>95534.684897629922</v>
      </c>
      <c r="I74" s="46">
        <f>I70*(1+E462)</f>
        <v>96709.530129697785</v>
      </c>
      <c r="J74" s="46">
        <f>J70*(1+F462)</f>
        <v>105751.35584549484</v>
      </c>
      <c r="K74" s="46">
        <f>K70*(1+G462)</f>
        <v>113760.75063851108</v>
      </c>
      <c r="L74" s="46">
        <f>L70*(1+H462)</f>
        <v>120591.97369442612</v>
      </c>
      <c r="M74" s="18"/>
      <c r="N74" s="10"/>
    </row>
    <row r="75" spans="1:18" x14ac:dyDescent="0.25">
      <c r="A75" s="1" t="s">
        <v>245</v>
      </c>
      <c r="B75" s="13"/>
      <c r="C75" s="13"/>
      <c r="D75" s="46">
        <f>D70</f>
        <v>69943</v>
      </c>
      <c r="E75" s="46">
        <f t="shared" ref="E75:G75" si="4">E70</f>
        <v>73723</v>
      </c>
      <c r="F75" s="46">
        <f t="shared" si="4"/>
        <v>77849</v>
      </c>
      <c r="G75" s="46">
        <f t="shared" si="4"/>
        <v>86833</v>
      </c>
      <c r="H75" s="46">
        <f>H70*(1-D462)</f>
        <v>91625.163302370071</v>
      </c>
      <c r="I75" s="46">
        <f>I70*(1-E462)</f>
        <v>88953.03928470223</v>
      </c>
      <c r="J75" s="46">
        <f>J70*(1-F462)</f>
        <v>93278.918566741981</v>
      </c>
      <c r="K75" s="46">
        <f>K70*(1-G462)</f>
        <v>96216.188866398748</v>
      </c>
      <c r="L75" s="46">
        <f>L70*(1-H462)</f>
        <v>97784.043390680104</v>
      </c>
      <c r="M75" s="18"/>
      <c r="N75" s="10"/>
    </row>
    <row r="76" spans="1:18" x14ac:dyDescent="0.25">
      <c r="A76" s="1"/>
      <c r="B76" s="13"/>
      <c r="C76" s="13"/>
      <c r="D76" s="1"/>
      <c r="E76" s="1"/>
      <c r="F76" s="1"/>
      <c r="G76" s="1"/>
      <c r="H76" s="1"/>
      <c r="I76" s="1"/>
      <c r="J76" s="1"/>
      <c r="K76" s="1"/>
      <c r="L76" s="1"/>
      <c r="M76" s="18"/>
      <c r="N76" s="10"/>
    </row>
    <row r="77" spans="1:18" x14ac:dyDescent="0.25">
      <c r="A77" s="8" t="s">
        <v>403</v>
      </c>
      <c r="B77" s="37"/>
      <c r="C77" s="38"/>
      <c r="D77" s="146">
        <f>VLOOKUP(A77,Annual!$A$148:$E$213, 5,0)</f>
        <v>15577</v>
      </c>
      <c r="E77" s="146">
        <f>VLOOKUP(A77,Annual!$A$148:$E$213, 4,0)</f>
        <v>17530</v>
      </c>
      <c r="F77" s="146">
        <f>VLOOKUP(A77,Annual!$A$148:$E$213, 3,0)</f>
        <v>20249</v>
      </c>
      <c r="G77" s="146">
        <f>VLOOKUP(A77,Annual!$A$148:$E$213, 2,0)</f>
        <v>26934</v>
      </c>
      <c r="H77" s="157">
        <f>H78*H70</f>
        <v>31069.642289275886</v>
      </c>
      <c r="I77" s="157">
        <f>I78*I70</f>
        <v>29625.791395374981</v>
      </c>
      <c r="J77" s="157">
        <f>J78*J70</f>
        <v>31289.937866516691</v>
      </c>
      <c r="K77" s="157">
        <f>K78*K70</f>
        <v>32516.183861836922</v>
      </c>
      <c r="L77" s="157">
        <f>L78*L70</f>
        <v>33302.342605478698</v>
      </c>
      <c r="M77" s="22"/>
      <c r="N77" s="10"/>
    </row>
    <row r="78" spans="1:18" x14ac:dyDescent="0.25">
      <c r="A78" s="10" t="s">
        <v>1</v>
      </c>
      <c r="B78" s="18"/>
      <c r="C78" s="16"/>
      <c r="D78" s="16">
        <f>D77/D70</f>
        <v>0.222709920935619</v>
      </c>
      <c r="E78" s="16">
        <f>E77/E70</f>
        <v>0.23778196763560897</v>
      </c>
      <c r="F78" s="16">
        <f>F77/F70</f>
        <v>0.26010610284011354</v>
      </c>
      <c r="G78" s="16">
        <f>G77/G70</f>
        <v>0.31018161298123986</v>
      </c>
      <c r="H78" s="16">
        <f>G78-H171</f>
        <v>0.33201183467593648</v>
      </c>
      <c r="I78" s="16">
        <f>H78-I171</f>
        <v>0.31913585478018491</v>
      </c>
      <c r="J78" s="16">
        <f>(I78+((L78-I78)/3))</f>
        <v>0.31442390318678992</v>
      </c>
      <c r="K78" s="16">
        <f>(J78+((L78-I78)/3))</f>
        <v>0.30971195159339493</v>
      </c>
      <c r="L78" s="135">
        <v>0.30499999999999999</v>
      </c>
      <c r="M78" s="16">
        <f>AVERAGE(E78:G78)</f>
        <v>0.26935656115232076</v>
      </c>
      <c r="N78" s="12">
        <f>AVERAGE(H78:L78)</f>
        <v>0.31605670884726123</v>
      </c>
    </row>
    <row r="79" spans="1:18" x14ac:dyDescent="0.25">
      <c r="A79" s="10"/>
      <c r="B79" s="18"/>
      <c r="C79" s="18"/>
      <c r="D79" s="10"/>
      <c r="E79" s="10"/>
      <c r="F79" s="10"/>
      <c r="G79" s="10"/>
      <c r="H79" s="10"/>
      <c r="I79" s="10"/>
      <c r="J79" s="10"/>
      <c r="K79" s="10"/>
      <c r="L79" s="10"/>
      <c r="M79" s="18"/>
      <c r="N79" s="10"/>
    </row>
    <row r="80" spans="1:18" x14ac:dyDescent="0.25">
      <c r="A80" s="10" t="s">
        <v>99</v>
      </c>
      <c r="B80" s="18"/>
      <c r="C80" s="18"/>
      <c r="D80" s="44">
        <f>D70-D77</f>
        <v>54366</v>
      </c>
      <c r="E80" s="44">
        <f t="shared" ref="E80:L80" si="5">E70-E77</f>
        <v>56193</v>
      </c>
      <c r="F80" s="44">
        <f t="shared" si="5"/>
        <v>57600</v>
      </c>
      <c r="G80" s="44">
        <f t="shared" si="5"/>
        <v>59899</v>
      </c>
      <c r="H80" s="44">
        <f t="shared" si="5"/>
        <v>62510.281810724118</v>
      </c>
      <c r="I80" s="44">
        <f t="shared" si="5"/>
        <v>63205.493311825019</v>
      </c>
      <c r="J80" s="44">
        <f t="shared" si="5"/>
        <v>68225.199339601721</v>
      </c>
      <c r="K80" s="44">
        <f t="shared" si="5"/>
        <v>72472.28589061799</v>
      </c>
      <c r="L80" s="44">
        <f t="shared" si="5"/>
        <v>75885.665937074416</v>
      </c>
      <c r="M80" s="18"/>
      <c r="N80" s="10"/>
    </row>
    <row r="81" spans="1:14" x14ac:dyDescent="0.25">
      <c r="A81" s="10" t="s">
        <v>100</v>
      </c>
      <c r="B81" s="18"/>
      <c r="C81" s="18"/>
      <c r="D81" s="12">
        <f>D80/D70</f>
        <v>0.77729007906438097</v>
      </c>
      <c r="E81" s="12">
        <f t="shared" ref="E81:L81" si="6">E80/E70</f>
        <v>0.76221803236439101</v>
      </c>
      <c r="F81" s="12">
        <f t="shared" si="6"/>
        <v>0.7398938971598864</v>
      </c>
      <c r="G81" s="12">
        <f t="shared" si="6"/>
        <v>0.68981838701876019</v>
      </c>
      <c r="H81" s="12">
        <f t="shared" si="6"/>
        <v>0.66798816532406347</v>
      </c>
      <c r="I81" s="12">
        <f t="shared" si="6"/>
        <v>0.68086414521981509</v>
      </c>
      <c r="J81" s="12">
        <f t="shared" si="6"/>
        <v>0.68557609681321008</v>
      </c>
      <c r="K81" s="12">
        <f t="shared" si="6"/>
        <v>0.69028804840660507</v>
      </c>
      <c r="L81" s="12">
        <f t="shared" si="6"/>
        <v>0.69500000000000006</v>
      </c>
      <c r="M81" s="18"/>
      <c r="N81" s="10"/>
    </row>
    <row r="82" spans="1:14" x14ac:dyDescent="0.25">
      <c r="A82" s="10"/>
      <c r="B82" s="18"/>
      <c r="C82" s="18"/>
      <c r="D82" s="10"/>
      <c r="E82" s="10"/>
      <c r="F82" s="10"/>
      <c r="G82" s="10"/>
      <c r="H82" s="10"/>
      <c r="I82" s="10"/>
      <c r="J82" s="10"/>
      <c r="K82" s="10"/>
      <c r="L82" s="10"/>
      <c r="M82" s="18"/>
      <c r="N82" s="10"/>
    </row>
    <row r="83" spans="1:14" x14ac:dyDescent="0.25">
      <c r="A83" s="10" t="s">
        <v>246</v>
      </c>
      <c r="B83" s="18"/>
      <c r="C83" s="18"/>
      <c r="D83" s="10"/>
      <c r="E83" s="10"/>
      <c r="F83" s="10"/>
      <c r="G83" s="10"/>
      <c r="H83" s="44">
        <f>H80*(1+D465)</f>
        <v>63119.403702332747</v>
      </c>
      <c r="I83" s="44">
        <f>I80*(1+E465)</f>
        <v>64437.285859576739</v>
      </c>
      <c r="J83" s="44">
        <f>J80*(1+F465)</f>
        <v>70219.629436858973</v>
      </c>
      <c r="K83" s="44">
        <f>K80*(1+G465)</f>
        <v>75297.066364624479</v>
      </c>
      <c r="L83" s="44">
        <f>L80*(1+H465)</f>
        <v>79582.9473316402</v>
      </c>
      <c r="M83" s="18"/>
      <c r="N83" s="10"/>
    </row>
    <row r="84" spans="1:14" x14ac:dyDescent="0.25">
      <c r="A84" s="10" t="s">
        <v>247</v>
      </c>
      <c r="B84" s="18"/>
      <c r="C84" s="18"/>
      <c r="D84" s="10"/>
      <c r="E84" s="10"/>
      <c r="F84" s="10"/>
      <c r="G84" s="10"/>
      <c r="H84" s="44">
        <f>H80*(1-D465)</f>
        <v>61901.159919115496</v>
      </c>
      <c r="I84" s="44">
        <f>I80*(1-E465)</f>
        <v>61973.700764073299</v>
      </c>
      <c r="J84" s="44">
        <f>J80*(1-F465)</f>
        <v>66230.769242344468</v>
      </c>
      <c r="K84" s="44">
        <f>K80*(1-G465)</f>
        <v>69647.505416611501</v>
      </c>
      <c r="L84" s="44">
        <f>L80*(1-H465)</f>
        <v>72188.384542508633</v>
      </c>
      <c r="M84" s="18"/>
      <c r="N84" s="10"/>
    </row>
    <row r="85" spans="1:14" x14ac:dyDescent="0.25">
      <c r="A85" s="10"/>
      <c r="B85" s="18"/>
      <c r="C85" s="18"/>
      <c r="D85" s="10"/>
      <c r="E85" s="10"/>
      <c r="F85" s="10"/>
      <c r="G85" s="10"/>
      <c r="H85" s="10"/>
      <c r="I85" s="10"/>
      <c r="J85" s="10"/>
      <c r="K85" s="10"/>
      <c r="L85" s="10"/>
      <c r="M85" s="18"/>
      <c r="N85" s="10"/>
    </row>
    <row r="86" spans="1:14" x14ac:dyDescent="0.25">
      <c r="A86" s="10" t="s">
        <v>313</v>
      </c>
      <c r="B86" s="18"/>
      <c r="C86" s="22"/>
      <c r="D86" s="146">
        <f>IF(ISERROR(VLOOKUP(A86,Annual!$A$148:$E$213, 5,0)), 0, VLOOKUP(A86,Annual!$A$148:$E$213, 5,0))</f>
        <v>18162</v>
      </c>
      <c r="E86" s="146">
        <f>IF(ISERROR(VLOOKUP(A86,Annual!$A$148:$E$213, 4,0)), 0, VLOOKUP(A86,Annual!$A$148:$E$213, 4,0))</f>
        <v>18426</v>
      </c>
      <c r="F86" s="146">
        <f>IF(ISERROR(VLOOKUP(A86,Annual!$A$148:$E$213, 3,0)),0, VLOOKUP(A86,Annual!$A$148:$E$213, 3,0))</f>
        <v>20425</v>
      </c>
      <c r="G86" s="146">
        <f>IF(ISERROR(VLOOKUP(A86,Annual!$A$148:$E$213, 2,0)), 0, VLOOKUP(A86,Annual!$A$148:$E$213, 2,0))</f>
        <v>20632</v>
      </c>
      <c r="H86" s="54">
        <f>H87*H70</f>
        <v>23799.987365869903</v>
      </c>
      <c r="I86" s="54">
        <f t="shared" ref="I86:L86" si="7">I87*I70</f>
        <v>22693.967775650719</v>
      </c>
      <c r="J86" s="54">
        <f t="shared" si="7"/>
        <v>24179.833280154522</v>
      </c>
      <c r="K86" s="54">
        <f t="shared" si="7"/>
        <v>25353.478425576097</v>
      </c>
      <c r="L86" s="54">
        <f t="shared" si="7"/>
        <v>26205.122050212747</v>
      </c>
      <c r="M86" s="22"/>
      <c r="N86" s="10"/>
    </row>
    <row r="87" spans="1:14" x14ac:dyDescent="0.25">
      <c r="A87" s="10" t="s">
        <v>2</v>
      </c>
      <c r="B87" s="18"/>
      <c r="C87" s="16"/>
      <c r="D87" s="16">
        <f t="shared" ref="D87:G87" si="8">D86/D70</f>
        <v>0.25966858727821224</v>
      </c>
      <c r="E87" s="16">
        <f t="shared" si="8"/>
        <v>0.24993556963227215</v>
      </c>
      <c r="F87" s="16">
        <f t="shared" si="8"/>
        <v>0.26236688974810207</v>
      </c>
      <c r="G87" s="16">
        <f t="shared" si="8"/>
        <v>0.23760551863922702</v>
      </c>
      <c r="H87" s="16">
        <f>G87-H172</f>
        <v>0.25432791909979657</v>
      </c>
      <c r="I87" s="16">
        <f>H87-I172</f>
        <v>0.24446465270011042</v>
      </c>
      <c r="J87" s="16">
        <f>(I87+((L87-I87)/3))</f>
        <v>0.24297643513340694</v>
      </c>
      <c r="K87" s="16">
        <f>(J87+((L87-I87)/3))</f>
        <v>0.24148821756670347</v>
      </c>
      <c r="L87" s="135">
        <v>0.24</v>
      </c>
      <c r="M87" s="16">
        <f>AVERAGE(E87:G87)</f>
        <v>0.24996932600653374</v>
      </c>
      <c r="N87" s="12">
        <f>AVERAGE(H87:L87)</f>
        <v>0.24465144490000351</v>
      </c>
    </row>
    <row r="88" spans="1:14" x14ac:dyDescent="0.25">
      <c r="A88" s="10" t="s">
        <v>157</v>
      </c>
      <c r="B88" s="18"/>
      <c r="C88" s="18"/>
      <c r="D88" s="10"/>
      <c r="E88" s="12">
        <f>E86/D86-1</f>
        <v>1.4535844070036275E-2</v>
      </c>
      <c r="F88" s="12">
        <f t="shared" ref="F88:L88" si="9">F86/E86-1</f>
        <v>0.1084880060783675</v>
      </c>
      <c r="G88" s="12">
        <f t="shared" si="9"/>
        <v>1.0134638922888684E-2</v>
      </c>
      <c r="H88" s="12">
        <f t="shared" si="9"/>
        <v>0.15354727442176741</v>
      </c>
      <c r="I88" s="12">
        <f t="shared" si="9"/>
        <v>-4.6471436022914037E-2</v>
      </c>
      <c r="J88" s="12">
        <f t="shared" si="9"/>
        <v>6.5474029010389678E-2</v>
      </c>
      <c r="K88" s="12">
        <f t="shared" si="9"/>
        <v>4.8538181873439168E-2</v>
      </c>
      <c r="L88" s="12">
        <f t="shared" si="9"/>
        <v>3.3590800060694148E-2</v>
      </c>
      <c r="M88" s="18"/>
      <c r="N88" s="10"/>
    </row>
    <row r="89" spans="1:14" x14ac:dyDescent="0.25">
      <c r="A89" s="10"/>
      <c r="B89" s="18"/>
      <c r="C89" s="18"/>
      <c r="D89" s="10"/>
      <c r="E89" s="10"/>
      <c r="F89" s="10"/>
      <c r="G89" s="10"/>
      <c r="H89" s="10"/>
      <c r="I89" s="10"/>
      <c r="J89" s="10"/>
      <c r="K89" s="10"/>
      <c r="L89" s="10"/>
      <c r="M89" s="18"/>
      <c r="N89" s="10"/>
    </row>
    <row r="90" spans="1:14" x14ac:dyDescent="0.25">
      <c r="A90" s="10" t="s">
        <v>238</v>
      </c>
      <c r="B90" s="18"/>
      <c r="C90" s="54"/>
      <c r="D90" s="44">
        <f>Annual!E8</f>
        <v>0</v>
      </c>
      <c r="E90" s="44">
        <f>Annual!D8</f>
        <v>0</v>
      </c>
      <c r="F90" s="44">
        <f>Annual!C8</f>
        <v>0</v>
      </c>
      <c r="G90" s="44">
        <f>IF(AND((G68=Annual!B145),(Annual!B8="-")), Annual!B155, Annual!B8)</f>
        <v>0</v>
      </c>
      <c r="H90" s="44">
        <f>IF(H92&lt;G90, H92, G90)</f>
        <v>0</v>
      </c>
      <c r="I90" s="44">
        <f>IF(I92&lt;H90, I92, H90)</f>
        <v>0</v>
      </c>
      <c r="J90" s="44">
        <f>IF(J92&lt;I90, J92, I90)</f>
        <v>0</v>
      </c>
      <c r="K90" s="44">
        <f>IF(K92&lt;J90, K92, J90)</f>
        <v>0</v>
      </c>
      <c r="L90" s="44">
        <f>IF(L92&lt;K90, L92, K90)</f>
        <v>0</v>
      </c>
      <c r="M90" s="18"/>
      <c r="N90" s="10"/>
    </row>
    <row r="91" spans="1:14" x14ac:dyDescent="0.25">
      <c r="A91" s="10"/>
      <c r="B91" s="18"/>
      <c r="C91" s="18"/>
      <c r="D91" s="10"/>
      <c r="E91" s="10"/>
      <c r="F91" s="10"/>
      <c r="G91" s="10"/>
      <c r="H91" s="10"/>
      <c r="I91" s="10"/>
      <c r="J91" s="10"/>
      <c r="K91" s="10"/>
      <c r="L91" s="10"/>
      <c r="M91" s="18"/>
      <c r="N91" s="10"/>
    </row>
    <row r="92" spans="1:14" x14ac:dyDescent="0.25">
      <c r="A92" s="10" t="s">
        <v>239</v>
      </c>
      <c r="B92" s="18"/>
      <c r="C92" s="22"/>
      <c r="D92" s="54">
        <f>D70-D77-D86-D116</f>
        <v>9043</v>
      </c>
      <c r="E92" s="54">
        <f t="shared" ref="E92:G92" si="10">E70-E77-E86-E116</f>
        <v>9811</v>
      </c>
      <c r="F92" s="54">
        <f t="shared" si="10"/>
        <v>10411</v>
      </c>
      <c r="G92" s="54">
        <f t="shared" si="10"/>
        <v>11381</v>
      </c>
      <c r="H92" s="54">
        <f>H93*H70</f>
        <v>13128.521530194133</v>
      </c>
      <c r="I92" s="54">
        <f>I93*I70</f>
        <v>12518.420281828268</v>
      </c>
      <c r="J92" s="54">
        <f>J93*J70</f>
        <v>13092.961745001536</v>
      </c>
      <c r="K92" s="54">
        <f>K93*K70</f>
        <v>13468.316680016742</v>
      </c>
      <c r="L92" s="54">
        <f>L93*L70</f>
        <v>13648.501067819139</v>
      </c>
      <c r="M92" s="22"/>
      <c r="N92" s="10"/>
    </row>
    <row r="93" spans="1:14" x14ac:dyDescent="0.25">
      <c r="A93" s="10" t="s">
        <v>182</v>
      </c>
      <c r="B93" s="18"/>
      <c r="C93" s="16"/>
      <c r="D93" s="16">
        <f>D92/D70</f>
        <v>0.12929099409519179</v>
      </c>
      <c r="E93" s="16">
        <f>E92/E70</f>
        <v>0.13307922900587332</v>
      </c>
      <c r="F93" s="16">
        <f>F92/F70</f>
        <v>0.13373325283561768</v>
      </c>
      <c r="G93" s="16">
        <f>G92/G70</f>
        <v>0.13106768164177213</v>
      </c>
      <c r="H93" s="16">
        <f>G93-H173</f>
        <v>0.14029207286132148</v>
      </c>
      <c r="I93" s="16">
        <f>H93-I173</f>
        <v>0.13485130924679897</v>
      </c>
      <c r="J93" s="16">
        <f>(I93+((L93-I93)/3))</f>
        <v>0.13156753949786598</v>
      </c>
      <c r="K93" s="16">
        <f>(J93+((L93-I93)/3))</f>
        <v>0.12828376974893299</v>
      </c>
      <c r="L93" s="135">
        <v>0.125</v>
      </c>
      <c r="M93" s="16">
        <f>AVERAGE(E93:G93)</f>
        <v>0.1326267211610877</v>
      </c>
      <c r="N93" s="12">
        <f>AVERAGE(H93:L93)</f>
        <v>0.13199893827098388</v>
      </c>
    </row>
    <row r="94" spans="1:14" x14ac:dyDescent="0.25">
      <c r="A94" s="10"/>
      <c r="B94" s="18"/>
      <c r="C94" s="18"/>
      <c r="D94" s="10"/>
      <c r="E94" s="10"/>
      <c r="F94" s="10"/>
      <c r="G94" s="10"/>
      <c r="H94" s="10"/>
      <c r="I94" s="10"/>
      <c r="J94" s="10"/>
      <c r="K94" s="10"/>
      <c r="L94" s="10"/>
      <c r="M94" s="18"/>
      <c r="N94" s="10"/>
    </row>
    <row r="95" spans="1:14" x14ac:dyDescent="0.25">
      <c r="A95" s="10" t="s">
        <v>315</v>
      </c>
      <c r="B95" s="22"/>
      <c r="C95" s="22"/>
      <c r="D95" s="146">
        <f>VLOOKUP(A95,Annual!$A$148:$E$213, 5,0)</f>
        <v>2766</v>
      </c>
      <c r="E95" s="146">
        <f>VLOOKUP(A95,Annual!$A$148:$E$213, 4,0)</f>
        <v>2967</v>
      </c>
      <c r="F95" s="146">
        <f>VLOOKUP(A95,Annual!$A$148:$E$213, 3,0)</f>
        <v>3755</v>
      </c>
      <c r="G95" s="146">
        <f>VLOOKUP(A95,Annual!$A$148:$E$213, 2,0)</f>
        <v>5212</v>
      </c>
      <c r="H95" s="54">
        <f>H96*H70</f>
        <v>5616.9724000000006</v>
      </c>
      <c r="I95" s="54">
        <f t="shared" ref="I95:L95" si="11">I96*I70</f>
        <v>5572.0366207999996</v>
      </c>
      <c r="J95" s="54">
        <f t="shared" si="11"/>
        <v>5973.2232574976006</v>
      </c>
      <c r="K95" s="54">
        <f t="shared" si="11"/>
        <v>6301.750536659968</v>
      </c>
      <c r="L95" s="54">
        <f t="shared" si="11"/>
        <v>6553.8205581263674</v>
      </c>
      <c r="M95" s="22"/>
      <c r="N95" s="10"/>
    </row>
    <row r="96" spans="1:14" x14ac:dyDescent="0.25">
      <c r="A96" s="10" t="s">
        <v>17</v>
      </c>
      <c r="B96" s="18"/>
      <c r="C96" s="16"/>
      <c r="D96" s="16">
        <f>D95/D70</f>
        <v>3.9546487854395719E-2</v>
      </c>
      <c r="E96" s="16">
        <f>E95/E70</f>
        <v>4.0245242326004099E-2</v>
      </c>
      <c r="F96" s="16">
        <f>F95/F70</f>
        <v>4.82344024971419E-2</v>
      </c>
      <c r="G96" s="16">
        <f>G95/G70</f>
        <v>6.0023263045155643E-2</v>
      </c>
      <c r="H96" s="16">
        <f>G96</f>
        <v>6.0023263045155643E-2</v>
      </c>
      <c r="I96" s="16">
        <f t="shared" ref="I96:L96" si="12">H96</f>
        <v>6.0023263045155643E-2</v>
      </c>
      <c r="J96" s="16">
        <f t="shared" si="12"/>
        <v>6.0023263045155643E-2</v>
      </c>
      <c r="K96" s="16">
        <f t="shared" si="12"/>
        <v>6.0023263045155643E-2</v>
      </c>
      <c r="L96" s="16">
        <f t="shared" si="12"/>
        <v>6.0023263045155643E-2</v>
      </c>
      <c r="M96" s="16">
        <f>AVERAGE(E96:G96)</f>
        <v>4.9500969289433878E-2</v>
      </c>
      <c r="N96" s="12">
        <f>AVERAGE(H96:L96)</f>
        <v>6.0023263045155636E-2</v>
      </c>
    </row>
    <row r="97" spans="1:14" x14ac:dyDescent="0.25">
      <c r="A97" s="10" t="s">
        <v>27</v>
      </c>
      <c r="B97" s="16"/>
      <c r="C97" s="16"/>
      <c r="D97" s="16"/>
      <c r="E97" s="16">
        <f t="shared" ref="E97:L97" si="13">E95/D95-1</f>
        <v>7.2668112798264684E-2</v>
      </c>
      <c r="F97" s="16">
        <f t="shared" si="13"/>
        <v>0.26558813616447585</v>
      </c>
      <c r="G97" s="16">
        <f t="shared" si="13"/>
        <v>0.3880159786950732</v>
      </c>
      <c r="H97" s="16">
        <f t="shared" si="13"/>
        <v>7.7700000000000102E-2</v>
      </c>
      <c r="I97" s="16">
        <f t="shared" si="13"/>
        <v>-8.0000000000001181E-3</v>
      </c>
      <c r="J97" s="16">
        <f t="shared" si="13"/>
        <v>7.2000000000000286E-2</v>
      </c>
      <c r="K97" s="16">
        <f t="shared" si="13"/>
        <v>5.4999999999999938E-2</v>
      </c>
      <c r="L97" s="16">
        <f t="shared" si="13"/>
        <v>4.0000000000000036E-2</v>
      </c>
      <c r="M97" s="16">
        <f>AVERAGE(E97:G97)</f>
        <v>0.24209074255260457</v>
      </c>
      <c r="N97" s="12">
        <f>AVERAGE(H97:L97)</f>
        <v>4.7340000000000049E-2</v>
      </c>
    </row>
    <row r="98" spans="1:14" x14ac:dyDescent="0.25">
      <c r="A98" s="10"/>
      <c r="B98" s="18"/>
      <c r="C98" s="18"/>
      <c r="D98" s="18"/>
      <c r="E98" s="18"/>
      <c r="F98" s="18"/>
      <c r="G98" s="18"/>
      <c r="H98" s="10"/>
      <c r="I98" s="10"/>
      <c r="J98" s="10"/>
      <c r="K98" s="10"/>
      <c r="L98" s="10"/>
      <c r="M98" s="18"/>
      <c r="N98" s="10"/>
    </row>
    <row r="99" spans="1:14" x14ac:dyDescent="0.25">
      <c r="A99" s="10" t="s">
        <v>270</v>
      </c>
      <c r="B99" s="18"/>
      <c r="C99" s="18"/>
      <c r="D99" s="22">
        <f t="shared" ref="D99:L99" si="14">D339/D95</f>
        <v>6.5043383947939262</v>
      </c>
      <c r="E99" s="22">
        <f t="shared" si="14"/>
        <v>6.4816312773845635</v>
      </c>
      <c r="F99" s="22">
        <f t="shared" si="14"/>
        <v>5.9930758988015977</v>
      </c>
      <c r="G99" s="22">
        <f t="shared" si="14"/>
        <v>5.3346124328472753</v>
      </c>
      <c r="H99" s="22">
        <f t="shared" si="14"/>
        <v>6.0081381208139817</v>
      </c>
      <c r="I99" s="22">
        <f t="shared" si="14"/>
        <v>7.1712650668586226</v>
      </c>
      <c r="J99" s="22">
        <f t="shared" si="14"/>
        <v>7.7660624150117004</v>
      </c>
      <c r="K99" s="22">
        <f t="shared" si="14"/>
        <v>8.3994213416614532</v>
      </c>
      <c r="L99" s="22">
        <f t="shared" si="14"/>
        <v>9.0763666746744729</v>
      </c>
      <c r="M99" s="18"/>
      <c r="N99" s="10"/>
    </row>
    <row r="100" spans="1:14" x14ac:dyDescent="0.25">
      <c r="A100" s="10" t="s">
        <v>45</v>
      </c>
      <c r="B100" s="18"/>
      <c r="C100" s="42"/>
      <c r="D100" s="42">
        <f t="shared" ref="D100:I100" si="15">D197/D95</f>
        <v>0.85140997830802601</v>
      </c>
      <c r="E100" s="42">
        <f t="shared" si="15"/>
        <v>0.77687900235928542</v>
      </c>
      <c r="F100" s="42">
        <f t="shared" si="15"/>
        <v>1.1336884154460718</v>
      </c>
      <c r="G100" s="42">
        <f t="shared" si="15"/>
        <v>1.0523791250959325</v>
      </c>
      <c r="H100" s="42">
        <f t="shared" si="15"/>
        <v>1.0581405028801634</v>
      </c>
      <c r="I100" s="42">
        <f t="shared" si="15"/>
        <v>1.1146742192638821</v>
      </c>
      <c r="J100" s="42">
        <f>I100-((I100-L100)/3)</f>
        <v>1.0764494795092547</v>
      </c>
      <c r="K100" s="42">
        <f>AVERAGE(J100,L100)</f>
        <v>1.0382247397546274</v>
      </c>
      <c r="L100" s="159">
        <v>1</v>
      </c>
      <c r="M100" s="18"/>
      <c r="N100" s="10"/>
    </row>
    <row r="101" spans="1:14" x14ac:dyDescent="0.25">
      <c r="A101" s="10"/>
      <c r="B101" s="18"/>
      <c r="C101" s="18"/>
      <c r="D101" s="18"/>
      <c r="E101" s="18"/>
      <c r="F101" s="18"/>
      <c r="G101" s="18"/>
      <c r="H101" s="10"/>
      <c r="I101" s="10"/>
      <c r="J101" s="10"/>
      <c r="K101" s="10"/>
      <c r="L101" s="10"/>
      <c r="M101" s="18"/>
      <c r="N101" s="10"/>
    </row>
    <row r="102" spans="1:14" x14ac:dyDescent="0.25">
      <c r="A102" s="10" t="s">
        <v>402</v>
      </c>
      <c r="B102" s="18"/>
      <c r="C102" s="22"/>
      <c r="D102" s="146">
        <f>IF(ISERROR(VLOOKUP(A102,Annual!$A$148:$E$213, 5,0)), 0, VLOOKUP(A102,Annual!$A$148:$E$213, 5,0))</f>
        <v>0</v>
      </c>
      <c r="E102" s="146">
        <f>IF(ISERROR(VLOOKUP(A102,Annual!$A$148:$E$213,4,0)),0,VLOOKUP(A102,Annual!$A$148:$E$213,4,0))</f>
        <v>0</v>
      </c>
      <c r="F102" s="146">
        <f>IF(ISERROR(VLOOKUP(A102,Annual!$A$148:$E$213,3,0)),0,(VLOOKUP(A102,Annual!$A$148:$E$213,3,0)))</f>
        <v>0</v>
      </c>
      <c r="G102" s="146">
        <f>IF(ISERROR(VLOOKUP(A102,Annual!$A$148:$E$213, 2,0)), 0, VLOOKUP(A102,Annual!$A$148:$E$213, 2,0))</f>
        <v>0</v>
      </c>
      <c r="H102" s="22">
        <f>G102</f>
        <v>0</v>
      </c>
      <c r="I102" s="22">
        <f>H102</f>
        <v>0</v>
      </c>
      <c r="J102" s="22">
        <f>I102</f>
        <v>0</v>
      </c>
      <c r="K102" s="22">
        <f>J102</f>
        <v>0</v>
      </c>
      <c r="L102" s="22">
        <f>K102</f>
        <v>0</v>
      </c>
      <c r="M102" s="22"/>
      <c r="N102" s="10"/>
    </row>
    <row r="103" spans="1:14" x14ac:dyDescent="0.25">
      <c r="A103" s="10"/>
      <c r="B103" s="18"/>
      <c r="C103" s="18"/>
      <c r="D103" s="18"/>
      <c r="E103" s="18"/>
      <c r="F103" s="18"/>
      <c r="G103" s="18"/>
      <c r="H103" s="10"/>
      <c r="I103" s="10"/>
      <c r="J103" s="10"/>
      <c r="K103" s="10"/>
      <c r="L103" s="10"/>
      <c r="M103" s="18"/>
      <c r="N103" s="10"/>
    </row>
    <row r="104" spans="1:14" x14ac:dyDescent="0.25">
      <c r="A104" s="10" t="s">
        <v>18</v>
      </c>
      <c r="B104" s="18"/>
      <c r="C104" s="22"/>
      <c r="D104" s="54">
        <f t="shared" ref="D104:L104" si="16">D95+D102</f>
        <v>2766</v>
      </c>
      <c r="E104" s="54">
        <f t="shared" si="16"/>
        <v>2967</v>
      </c>
      <c r="F104" s="54">
        <f t="shared" si="16"/>
        <v>3755</v>
      </c>
      <c r="G104" s="54">
        <f t="shared" si="16"/>
        <v>5212</v>
      </c>
      <c r="H104" s="54">
        <f t="shared" si="16"/>
        <v>5616.9724000000006</v>
      </c>
      <c r="I104" s="54">
        <f t="shared" si="16"/>
        <v>5572.0366207999996</v>
      </c>
      <c r="J104" s="54">
        <f t="shared" si="16"/>
        <v>5973.2232574976006</v>
      </c>
      <c r="K104" s="54">
        <f t="shared" si="16"/>
        <v>6301.750536659968</v>
      </c>
      <c r="L104" s="54">
        <f t="shared" si="16"/>
        <v>6553.8205581263674</v>
      </c>
      <c r="M104" s="22"/>
      <c r="N104" s="10"/>
    </row>
    <row r="105" spans="1:14" x14ac:dyDescent="0.25">
      <c r="A105" s="10" t="s">
        <v>19</v>
      </c>
      <c r="B105" s="18"/>
      <c r="C105" s="16"/>
      <c r="D105" s="16">
        <f t="shared" ref="D105:L105" si="17">D104/D70</f>
        <v>3.9546487854395719E-2</v>
      </c>
      <c r="E105" s="16">
        <f t="shared" si="17"/>
        <v>4.0245242326004099E-2</v>
      </c>
      <c r="F105" s="16">
        <f t="shared" si="17"/>
        <v>4.82344024971419E-2</v>
      </c>
      <c r="G105" s="16">
        <f t="shared" si="17"/>
        <v>6.0023263045155643E-2</v>
      </c>
      <c r="H105" s="16">
        <f t="shared" si="17"/>
        <v>6.002326304515565E-2</v>
      </c>
      <c r="I105" s="16">
        <f t="shared" si="17"/>
        <v>6.0023263045155636E-2</v>
      </c>
      <c r="J105" s="16">
        <f t="shared" si="17"/>
        <v>6.0023263045155643E-2</v>
      </c>
      <c r="K105" s="16">
        <f t="shared" si="17"/>
        <v>6.0023263045155643E-2</v>
      </c>
      <c r="L105" s="16">
        <f t="shared" si="17"/>
        <v>6.0023263045155643E-2</v>
      </c>
      <c r="M105" s="16">
        <f>AVERAGE(E105:G105)</f>
        <v>4.9500969289433878E-2</v>
      </c>
      <c r="N105" s="12">
        <f>AVERAGE(H105:L105)</f>
        <v>6.0023263045155636E-2</v>
      </c>
    </row>
    <row r="106" spans="1:14" x14ac:dyDescent="0.25">
      <c r="A106" s="10"/>
      <c r="B106" s="18"/>
      <c r="C106" s="18"/>
      <c r="D106" s="10"/>
      <c r="E106" s="10"/>
      <c r="F106" s="10"/>
      <c r="G106" s="10"/>
      <c r="H106" s="10"/>
      <c r="I106" s="10"/>
      <c r="J106" s="10"/>
      <c r="K106" s="10"/>
      <c r="L106" s="10"/>
      <c r="M106" s="18"/>
      <c r="N106" s="10"/>
    </row>
    <row r="107" spans="1:14" x14ac:dyDescent="0.25">
      <c r="A107" s="1" t="s">
        <v>29</v>
      </c>
      <c r="B107" s="21"/>
      <c r="C107" s="21"/>
      <c r="D107" s="92">
        <f t="shared" ref="D107:L107" si="18">D116+D104</f>
        <v>29927</v>
      </c>
      <c r="E107" s="92">
        <f t="shared" si="18"/>
        <v>30923</v>
      </c>
      <c r="F107" s="92">
        <f t="shared" si="18"/>
        <v>30519</v>
      </c>
      <c r="G107" s="92">
        <f t="shared" si="18"/>
        <v>33098</v>
      </c>
      <c r="H107" s="92">
        <f t="shared" si="18"/>
        <v>31198.745314660075</v>
      </c>
      <c r="I107" s="92">
        <f t="shared" si="18"/>
        <v>33565.141875146037</v>
      </c>
      <c r="J107" s="92">
        <f t="shared" si="18"/>
        <v>36925.627571943267</v>
      </c>
      <c r="K107" s="92">
        <f t="shared" si="18"/>
        <v>39952.241321685113</v>
      </c>
      <c r="L107" s="92">
        <f t="shared" si="18"/>
        <v>42585.863377168898</v>
      </c>
      <c r="M107" s="22"/>
      <c r="N107" s="10"/>
    </row>
    <row r="108" spans="1:14" x14ac:dyDescent="0.25">
      <c r="A108" s="1" t="s">
        <v>142</v>
      </c>
      <c r="B108" s="43"/>
      <c r="C108" s="43"/>
      <c r="D108" s="43">
        <f t="shared" ref="D108:L108" si="19">D107/D70</f>
        <v>0.42787698554537268</v>
      </c>
      <c r="E108" s="43">
        <f t="shared" si="19"/>
        <v>0.41944847605224966</v>
      </c>
      <c r="F108" s="43">
        <f t="shared" si="19"/>
        <v>0.39202815707330857</v>
      </c>
      <c r="G108" s="43">
        <f t="shared" si="19"/>
        <v>0.38116844978291664</v>
      </c>
      <c r="H108" s="43">
        <f t="shared" si="19"/>
        <v>0.33339143640810104</v>
      </c>
      <c r="I108" s="43">
        <f t="shared" si="19"/>
        <v>0.36157144631806137</v>
      </c>
      <c r="J108" s="43">
        <f t="shared" si="19"/>
        <v>0.37105538522709286</v>
      </c>
      <c r="K108" s="43">
        <f t="shared" si="19"/>
        <v>0.38053932413612424</v>
      </c>
      <c r="L108" s="43">
        <f t="shared" si="19"/>
        <v>0.39002326304515567</v>
      </c>
      <c r="M108" s="16">
        <f>AVERAGE(E108:G108)</f>
        <v>0.39754836096949164</v>
      </c>
      <c r="N108" s="12">
        <f>AVERAGE(H108:L108)</f>
        <v>0.36731617102690706</v>
      </c>
    </row>
    <row r="109" spans="1:14" x14ac:dyDescent="0.25">
      <c r="A109" s="10" t="s">
        <v>30</v>
      </c>
      <c r="B109" s="16"/>
      <c r="C109" s="16"/>
      <c r="D109" s="16"/>
      <c r="E109" s="16">
        <f>IF(ISERROR(E107/D107-1), "na", E107/D107-1)</f>
        <v>3.3280983727069113E-2</v>
      </c>
      <c r="F109" s="16">
        <f t="shared" ref="F109:L109" si="20">F107/E107-1</f>
        <v>-1.3064709116191842E-2</v>
      </c>
      <c r="G109" s="16">
        <f t="shared" si="20"/>
        <v>8.4504734755398214E-2</v>
      </c>
      <c r="H109" s="16">
        <f t="shared" si="20"/>
        <v>-5.7382762866031944E-2</v>
      </c>
      <c r="I109" s="16">
        <f t="shared" si="20"/>
        <v>7.584909382153926E-2</v>
      </c>
      <c r="J109" s="16">
        <f t="shared" si="20"/>
        <v>0.10011832243395236</v>
      </c>
      <c r="K109" s="16">
        <f t="shared" si="20"/>
        <v>8.1965126898520646E-2</v>
      </c>
      <c r="L109" s="16">
        <f t="shared" si="20"/>
        <v>6.5919256801603154E-2</v>
      </c>
      <c r="M109" s="16">
        <f>AVERAGE(E109:G109)</f>
        <v>3.4907003122091829E-2</v>
      </c>
      <c r="N109" s="12">
        <f>AVERAGE(H109:L109)</f>
        <v>5.3293807417916693E-2</v>
      </c>
    </row>
    <row r="110" spans="1:14" x14ac:dyDescent="0.25">
      <c r="A110" s="10"/>
      <c r="B110" s="18"/>
      <c r="C110" s="18"/>
      <c r="D110" s="10"/>
      <c r="E110" s="10"/>
      <c r="F110" s="10"/>
      <c r="G110" s="10"/>
      <c r="H110" s="10"/>
      <c r="I110" s="10"/>
      <c r="J110" s="10"/>
      <c r="K110" s="10"/>
      <c r="L110" s="10"/>
      <c r="M110" s="18"/>
      <c r="N110" s="10"/>
    </row>
    <row r="111" spans="1:14" x14ac:dyDescent="0.25">
      <c r="A111" s="10" t="s">
        <v>276</v>
      </c>
      <c r="B111" s="18"/>
      <c r="C111" s="18"/>
      <c r="D111" s="10"/>
      <c r="E111" s="10"/>
      <c r="F111" s="10"/>
      <c r="G111" s="10"/>
      <c r="H111" s="44">
        <f>$H$107*(1+$D$485)</f>
        <v>31524.58801850515</v>
      </c>
      <c r="I111" s="44">
        <f>$I$107*(1+$E$485)</f>
        <v>34266.2570304662</v>
      </c>
      <c r="J111" s="44">
        <f>$J$107*(1+$F$485)</f>
        <v>38082.592014699025</v>
      </c>
      <c r="K111" s="44">
        <f>$K$107*(1+$G$485)</f>
        <v>41621.301561849526</v>
      </c>
      <c r="L111" s="44">
        <f>$L$107*(1+$H$485)</f>
        <v>44809.717690610341</v>
      </c>
      <c r="M111" s="18"/>
      <c r="N111" s="10"/>
    </row>
    <row r="112" spans="1:14" x14ac:dyDescent="0.25">
      <c r="A112" s="10" t="s">
        <v>277</v>
      </c>
      <c r="B112" s="18"/>
      <c r="C112" s="18"/>
      <c r="D112" s="10"/>
      <c r="E112" s="10"/>
      <c r="F112" s="10"/>
      <c r="G112" s="10"/>
      <c r="H112" s="44">
        <f>$H$107*(1-$D$485)</f>
        <v>30872.902610814999</v>
      </c>
      <c r="I112" s="44">
        <f>$I$107*(1-$E$485)</f>
        <v>32864.026719825873</v>
      </c>
      <c r="J112" s="44">
        <f>$J$107*(1-$F$485)</f>
        <v>35768.663129187509</v>
      </c>
      <c r="K112" s="44">
        <f>$K$107*(1-$G$485)</f>
        <v>38283.181081520699</v>
      </c>
      <c r="L112" s="44">
        <f>$L$107*(1-$H$485)</f>
        <v>40362.009063727455</v>
      </c>
      <c r="M112" s="18"/>
      <c r="N112" s="10"/>
    </row>
    <row r="113" spans="1:18" x14ac:dyDescent="0.25">
      <c r="A113" s="10"/>
      <c r="B113" s="18"/>
      <c r="C113" s="18"/>
      <c r="D113" s="10"/>
      <c r="E113" s="10"/>
      <c r="F113" s="10"/>
      <c r="G113" s="10"/>
      <c r="H113" s="10"/>
      <c r="I113" s="10"/>
      <c r="J113" s="10"/>
      <c r="K113" s="10"/>
      <c r="L113" s="10"/>
      <c r="M113" s="18"/>
      <c r="N113" s="10"/>
    </row>
    <row r="114" spans="1:18" x14ac:dyDescent="0.25">
      <c r="A114" s="9" t="s">
        <v>102</v>
      </c>
      <c r="B114" s="39"/>
      <c r="C114" s="41"/>
      <c r="D114" s="148">
        <f>D77+D86</f>
        <v>33739</v>
      </c>
      <c r="E114" s="148">
        <f t="shared" ref="E114:G114" si="21">E77+E86</f>
        <v>35956</v>
      </c>
      <c r="F114" s="148">
        <f t="shared" si="21"/>
        <v>40674</v>
      </c>
      <c r="G114" s="148">
        <f t="shared" si="21"/>
        <v>47566</v>
      </c>
      <c r="H114" s="148">
        <f>H92+H86+H77</f>
        <v>67998.151185339928</v>
      </c>
      <c r="I114" s="148">
        <f>I92+I86+I77</f>
        <v>64838.179452853969</v>
      </c>
      <c r="J114" s="148">
        <f>J92+J86+J77</f>
        <v>68562.732891672742</v>
      </c>
      <c r="K114" s="148">
        <f>K92+K86+K77</f>
        <v>71337.978967429764</v>
      </c>
      <c r="L114" s="148">
        <f>L92+L86+L77</f>
        <v>73155.965723510584</v>
      </c>
      <c r="M114" s="22"/>
      <c r="N114" s="10"/>
    </row>
    <row r="115" spans="1:18" x14ac:dyDescent="0.25">
      <c r="A115" s="1"/>
      <c r="B115" s="13"/>
      <c r="C115" s="13"/>
      <c r="D115" s="1"/>
      <c r="E115" s="1"/>
      <c r="F115" s="1"/>
      <c r="G115" s="1"/>
      <c r="H115" s="1"/>
      <c r="I115" s="1"/>
      <c r="J115" s="1"/>
      <c r="K115" s="1"/>
      <c r="L115" s="1"/>
      <c r="M115" s="18"/>
      <c r="N115" s="10"/>
    </row>
    <row r="116" spans="1:18" x14ac:dyDescent="0.25">
      <c r="A116" s="8" t="s">
        <v>410</v>
      </c>
      <c r="B116" s="38"/>
      <c r="C116" s="38"/>
      <c r="D116" s="146">
        <f>VLOOKUP(A116,Annual!$A$148:$E$213, 5,0)</f>
        <v>27161</v>
      </c>
      <c r="E116" s="146">
        <f>VLOOKUP(A116,Annual!$A$148:$E$213, 4,0)</f>
        <v>27956</v>
      </c>
      <c r="F116" s="146">
        <f>VLOOKUP(A116,Annual!$A$148:$E$213, 3,0)</f>
        <v>26764</v>
      </c>
      <c r="G116" s="146">
        <f>VLOOKUP(A116,Annual!$A$148:$E$213, 2,0)</f>
        <v>27886</v>
      </c>
      <c r="H116" s="157">
        <f t="shared" ref="H116:L116" si="22">H70-H77-H86-H92</f>
        <v>25581.772914660076</v>
      </c>
      <c r="I116" s="157">
        <f t="shared" si="22"/>
        <v>27993.105254346036</v>
      </c>
      <c r="J116" s="157">
        <f t="shared" si="22"/>
        <v>30952.404314445666</v>
      </c>
      <c r="K116" s="157">
        <f t="shared" si="22"/>
        <v>33650.490785025147</v>
      </c>
      <c r="L116" s="157">
        <f t="shared" si="22"/>
        <v>36032.04281904253</v>
      </c>
      <c r="M116" s="22"/>
      <c r="N116" s="10"/>
      <c r="R116" s="66">
        <f>(L116/D116)^(1/8)-1</f>
        <v>3.5959771517459549E-2</v>
      </c>
    </row>
    <row r="117" spans="1:18" x14ac:dyDescent="0.25">
      <c r="A117" s="10" t="s">
        <v>103</v>
      </c>
      <c r="B117" s="18"/>
      <c r="C117" s="16"/>
      <c r="D117" s="16">
        <f t="shared" ref="D117:L117" si="23">D116/D70</f>
        <v>0.38833049769097694</v>
      </c>
      <c r="E117" s="16">
        <f t="shared" si="23"/>
        <v>0.37920323372624554</v>
      </c>
      <c r="F117" s="16">
        <f t="shared" si="23"/>
        <v>0.34379375457616668</v>
      </c>
      <c r="G117" s="16">
        <f t="shared" si="23"/>
        <v>0.32114518673776099</v>
      </c>
      <c r="H117" s="16">
        <f t="shared" si="23"/>
        <v>0.27336817336294544</v>
      </c>
      <c r="I117" s="16">
        <f t="shared" si="23"/>
        <v>0.30154818327290572</v>
      </c>
      <c r="J117" s="16">
        <f t="shared" si="23"/>
        <v>0.31103212218193721</v>
      </c>
      <c r="K117" s="16">
        <f t="shared" si="23"/>
        <v>0.32051606109096858</v>
      </c>
      <c r="L117" s="16">
        <f t="shared" si="23"/>
        <v>0.33</v>
      </c>
      <c r="M117" s="16">
        <f>AVERAGE(E117:G117)</f>
        <v>0.34804739168005772</v>
      </c>
      <c r="N117" s="12">
        <f>AVERAGE(H117:L117)</f>
        <v>0.30729290798175141</v>
      </c>
      <c r="O117" t="str">
        <f>IF(M117&lt;N117, "above", "below")</f>
        <v>below</v>
      </c>
    </row>
    <row r="118" spans="1:18" x14ac:dyDescent="0.25">
      <c r="A118" s="9" t="s">
        <v>104</v>
      </c>
      <c r="B118" s="39"/>
      <c r="C118" s="40"/>
      <c r="D118" s="40"/>
      <c r="E118" s="40">
        <f t="shared" ref="E118:L118" si="24">E116/D116-1</f>
        <v>2.9269909060785748E-2</v>
      </c>
      <c r="F118" s="40">
        <f t="shared" si="24"/>
        <v>-4.2638431821433675E-2</v>
      </c>
      <c r="G118" s="40">
        <f t="shared" si="24"/>
        <v>4.1921984755642017E-2</v>
      </c>
      <c r="H118" s="40">
        <f t="shared" si="24"/>
        <v>-8.2630247627480613E-2</v>
      </c>
      <c r="I118" s="40">
        <f t="shared" si="24"/>
        <v>9.4259782061629771E-2</v>
      </c>
      <c r="J118" s="40">
        <f t="shared" si="24"/>
        <v>0.10571528357470061</v>
      </c>
      <c r="K118" s="40">
        <f t="shared" si="24"/>
        <v>8.716888171818904E-2</v>
      </c>
      <c r="L118" s="40">
        <f t="shared" si="24"/>
        <v>7.0773173836656156E-2</v>
      </c>
      <c r="M118" s="16">
        <f>AVERAGE(E118:G118)</f>
        <v>9.5178206649980304E-3</v>
      </c>
      <c r="N118" s="12">
        <f>AVERAGE(H118:L118)</f>
        <v>5.5057374712738992E-2</v>
      </c>
    </row>
    <row r="119" spans="1:18" x14ac:dyDescent="0.25">
      <c r="A119" s="1"/>
      <c r="B119" s="13"/>
      <c r="C119" s="13"/>
      <c r="D119" s="1"/>
      <c r="E119" s="1"/>
      <c r="F119" s="1"/>
      <c r="G119" s="1"/>
      <c r="H119" s="1"/>
      <c r="I119" s="1"/>
      <c r="J119" s="1"/>
      <c r="K119" s="1"/>
      <c r="L119" s="1"/>
      <c r="M119" s="18"/>
      <c r="N119" s="10"/>
    </row>
    <row r="120" spans="1:18" x14ac:dyDescent="0.25">
      <c r="A120" s="1" t="s">
        <v>110</v>
      </c>
      <c r="B120" s="13"/>
      <c r="C120" s="13"/>
      <c r="D120" s="46">
        <f>IF(Annual!E11="-", 0, Annual!E11)</f>
        <v>0</v>
      </c>
      <c r="E120" s="46">
        <f>IF(Annual!D11="-", 0, Annual!D11)</f>
        <v>0</v>
      </c>
      <c r="F120" s="46">
        <f>IF(Annual!C11="-", 0, Annual!C11)</f>
        <v>0</v>
      </c>
      <c r="G120" s="46">
        <f>IF(Annual!B11="-", 0, Annual!B11)</f>
        <v>0</v>
      </c>
      <c r="H120" s="54">
        <f>G120</f>
        <v>0</v>
      </c>
      <c r="I120" s="54">
        <f t="shared" ref="I120:L120" si="25">H120</f>
        <v>0</v>
      </c>
      <c r="J120" s="54">
        <f t="shared" si="25"/>
        <v>0</v>
      </c>
      <c r="K120" s="54">
        <f t="shared" si="25"/>
        <v>0</v>
      </c>
      <c r="L120" s="54">
        <f t="shared" si="25"/>
        <v>0</v>
      </c>
      <c r="M120" s="18"/>
      <c r="N120" s="10"/>
    </row>
    <row r="121" spans="1:18" x14ac:dyDescent="0.25">
      <c r="A121" s="1"/>
      <c r="B121" s="13"/>
      <c r="C121" s="13"/>
      <c r="D121" s="1"/>
      <c r="E121" s="1"/>
      <c r="F121" s="49"/>
      <c r="G121" s="1"/>
      <c r="H121" s="13"/>
      <c r="I121" s="13"/>
      <c r="J121" s="13"/>
      <c r="K121" s="13"/>
      <c r="L121" s="13"/>
      <c r="M121" s="18"/>
      <c r="N121" s="10"/>
    </row>
    <row r="122" spans="1:18" x14ac:dyDescent="0.25">
      <c r="A122" s="1" t="s">
        <v>109</v>
      </c>
      <c r="B122" s="13"/>
      <c r="C122" s="13"/>
      <c r="D122" s="46">
        <f>D116-D120</f>
        <v>27161</v>
      </c>
      <c r="E122" s="46">
        <f>E116-E120</f>
        <v>27956</v>
      </c>
      <c r="F122" s="46">
        <f>F116-F120</f>
        <v>26764</v>
      </c>
      <c r="G122" s="46">
        <f>G116-G120</f>
        <v>27886</v>
      </c>
      <c r="H122" s="54"/>
      <c r="I122" s="18"/>
      <c r="J122" s="18"/>
      <c r="K122" s="18"/>
      <c r="L122" s="18"/>
      <c r="M122" s="18"/>
      <c r="N122" s="10"/>
    </row>
    <row r="123" spans="1:18" x14ac:dyDescent="0.25">
      <c r="A123" s="4" t="s">
        <v>111</v>
      </c>
      <c r="B123" s="13"/>
      <c r="C123" s="13"/>
      <c r="D123" s="50">
        <f>Annual!E14</f>
        <v>0</v>
      </c>
      <c r="E123" s="50">
        <f>Annual!D14</f>
        <v>0</v>
      </c>
      <c r="F123" s="50">
        <f>Annual!C14</f>
        <v>0</v>
      </c>
      <c r="G123" s="50">
        <f>Annual!B14</f>
        <v>0</v>
      </c>
      <c r="H123" s="18"/>
      <c r="I123" s="18"/>
      <c r="J123" s="18"/>
      <c r="K123" s="18"/>
      <c r="L123" s="18"/>
      <c r="M123" s="18"/>
      <c r="N123" s="10"/>
    </row>
    <row r="124" spans="1:18" x14ac:dyDescent="0.25">
      <c r="A124" s="1"/>
      <c r="B124" s="13"/>
      <c r="C124" s="13"/>
      <c r="D124" s="1"/>
      <c r="E124" s="1"/>
      <c r="F124" s="1"/>
      <c r="G124" s="1"/>
      <c r="H124" s="1"/>
      <c r="I124" s="1"/>
      <c r="J124" s="1"/>
      <c r="K124" s="1"/>
      <c r="L124" s="1"/>
      <c r="M124" s="18"/>
      <c r="N124" s="10"/>
    </row>
    <row r="125" spans="1:18" x14ac:dyDescent="0.25">
      <c r="A125" s="8" t="s">
        <v>254</v>
      </c>
      <c r="B125" s="37"/>
      <c r="C125" s="38"/>
      <c r="D125" s="146">
        <f>IF(ISERROR(-VLOOKUP(A125,Annual!$A$148:$E$213, 5,0)), 0, -VLOOKUP(A125,Annual!$A$148:$E$213, 5,0))</f>
        <v>-295</v>
      </c>
      <c r="E125" s="146">
        <f>IF(ISERROR(-VLOOKUP(A125,Annual!$A$148:$E$213, 4,0)), 0, -VLOOKUP(A125,Annual!$A$148:$E$213, 4,0))</f>
        <v>-380</v>
      </c>
      <c r="F125" s="146">
        <f>IF(ISERROR(-VLOOKUP(A125,Annual!$A$148:$E$213, 3,0)), 0, -VLOOKUP(A125,Annual!$A$148:$E$213, 3,0))</f>
        <v>-429</v>
      </c>
      <c r="G125" s="146">
        <f>IF(ISERROR(-VLOOKUP(A125,Annual!$A$148:$E$213, 2,0)), 0, -VLOOKUP(A125,Annual!$A$148:$E$213, 2,0))</f>
        <v>-597</v>
      </c>
      <c r="H125" s="157">
        <f>G125</f>
        <v>-597</v>
      </c>
      <c r="I125" s="157">
        <f>H125</f>
        <v>-597</v>
      </c>
      <c r="J125" s="157">
        <f>I125</f>
        <v>-597</v>
      </c>
      <c r="K125" s="157">
        <f>J125</f>
        <v>-597</v>
      </c>
      <c r="L125" s="157">
        <f>K125</f>
        <v>-597</v>
      </c>
      <c r="M125" s="22"/>
      <c r="N125" s="10"/>
    </row>
    <row r="126" spans="1:18" x14ac:dyDescent="0.25">
      <c r="A126" s="10"/>
      <c r="B126" s="18"/>
      <c r="C126" s="22"/>
      <c r="D126" s="22"/>
      <c r="E126" s="22"/>
      <c r="F126" s="22"/>
      <c r="G126" s="22"/>
      <c r="H126" s="22"/>
      <c r="I126" s="22"/>
      <c r="J126" s="22"/>
      <c r="K126" s="22"/>
      <c r="L126" s="22"/>
      <c r="M126" s="22"/>
      <c r="N126" s="10"/>
    </row>
    <row r="127" spans="1:18" x14ac:dyDescent="0.25">
      <c r="A127" s="10" t="s">
        <v>136</v>
      </c>
      <c r="B127" s="18"/>
      <c r="C127" s="22"/>
      <c r="D127" s="22">
        <f>Annual!E142</f>
        <v>0</v>
      </c>
      <c r="E127" s="22">
        <f>Annual!D142</f>
        <v>0</v>
      </c>
      <c r="F127" s="22">
        <f>Annual!C142</f>
        <v>0</v>
      </c>
      <c r="G127" s="22">
        <f>Annual!B142</f>
        <v>0</v>
      </c>
      <c r="H127" s="18"/>
      <c r="I127" s="18"/>
      <c r="J127" s="18"/>
      <c r="K127" s="18"/>
      <c r="L127" s="18"/>
      <c r="M127" s="22"/>
      <c r="N127" s="10"/>
    </row>
    <row r="128" spans="1:18" x14ac:dyDescent="0.25">
      <c r="A128" s="10"/>
      <c r="B128" s="18"/>
      <c r="C128" s="22"/>
      <c r="D128" s="22"/>
      <c r="E128" s="22"/>
      <c r="F128" s="22"/>
      <c r="G128" s="22"/>
      <c r="H128" s="22"/>
      <c r="I128" s="22"/>
      <c r="J128" s="22"/>
      <c r="K128" s="22"/>
      <c r="L128" s="22"/>
      <c r="M128" s="22"/>
      <c r="N128" s="10"/>
    </row>
    <row r="129" spans="1:14" x14ac:dyDescent="0.25">
      <c r="A129" s="10" t="s">
        <v>317</v>
      </c>
      <c r="B129" s="18"/>
      <c r="C129" s="22"/>
      <c r="D129" s="146">
        <f>IF(ISERROR(VLOOKUP(A129,Annual!$A$148:$E$213,5,0)),0,VLOOKUP(A129,Annual!$A$148:$E$213,5,0))</f>
        <v>900</v>
      </c>
      <c r="E129" s="146">
        <f>IF(ISERROR(VLOOKUP(A129,Annual!$A$148:$E$213,4,0)),0,VLOOKUP(A129,Annual!$A$148:$E$213,4,0))</f>
        <v>800</v>
      </c>
      <c r="F129" s="146">
        <f>IF(ISERROR(VLOOKUP(A129,Annual!$A$148:$E$213,3,0)),0,VLOOKUP(A129,Annual!$A$148:$E$213,3,0))</f>
        <v>677</v>
      </c>
      <c r="G129" s="146">
        <f>IF(ISERROR(VLOOKUP(A129,Annual!$A$148:$E$213,2,0)),0,VLOOKUP(A129,Annual!$A$148:$E$213,2,0))</f>
        <v>883</v>
      </c>
      <c r="H129" s="22">
        <f>G129</f>
        <v>883</v>
      </c>
      <c r="I129" s="22">
        <f t="shared" ref="I129:L129" si="26">H129</f>
        <v>883</v>
      </c>
      <c r="J129" s="22">
        <f t="shared" si="26"/>
        <v>883</v>
      </c>
      <c r="K129" s="22">
        <f t="shared" si="26"/>
        <v>883</v>
      </c>
      <c r="L129" s="22">
        <f t="shared" si="26"/>
        <v>883</v>
      </c>
      <c r="M129" s="22"/>
      <c r="N129" s="10"/>
    </row>
    <row r="130" spans="1:14" x14ac:dyDescent="0.25">
      <c r="A130" s="10" t="s">
        <v>404</v>
      </c>
      <c r="B130" s="18"/>
      <c r="C130" s="22"/>
      <c r="D130" s="146">
        <f>IF(ISERROR(VLOOKUP(A130,Annual!$A$148:$E$213, 5,0)), 0, VLOOKUP(A130,Annual!$A$148:$E$213, 5,0))</f>
        <v>0</v>
      </c>
      <c r="E130" s="146">
        <f>IF(ISERROR(VLOOKUP(A130,Annual!$A$148:$E$213,4,0)),0,VLOOKUP(A130,Annual!$A$148:$E$213,4,0))</f>
        <v>0</v>
      </c>
      <c r="F130" s="146">
        <f>IF(ISERROR(VLOOKUP(A130,Annual!$A$148:$E$213,3,0)),0,(VLOOKUP(A130,Annual!$A$148:$E$213,3,0)))</f>
        <v>0</v>
      </c>
      <c r="G130" s="146">
        <f>IF(ISERROR(VLOOKUP(A130,Annual!$A$148:$E$213, 2,0)), 0, VLOOKUP(A130,Annual!$A$148:$E$213, 2,0))</f>
        <v>0</v>
      </c>
      <c r="H130" s="22">
        <f>G130</f>
        <v>0</v>
      </c>
      <c r="I130" s="22">
        <f t="shared" ref="I130:L130" si="27">H130</f>
        <v>0</v>
      </c>
      <c r="J130" s="22">
        <f t="shared" si="27"/>
        <v>0</v>
      </c>
      <c r="K130" s="22">
        <f t="shared" si="27"/>
        <v>0</v>
      </c>
      <c r="L130" s="22">
        <f t="shared" si="27"/>
        <v>0</v>
      </c>
      <c r="M130" s="22"/>
      <c r="N130" s="10"/>
    </row>
    <row r="131" spans="1:14" x14ac:dyDescent="0.25">
      <c r="A131" s="10" t="s">
        <v>411</v>
      </c>
      <c r="B131" s="122"/>
      <c r="C131" s="125"/>
      <c r="D131" s="22">
        <f>SUM(D132:D135)</f>
        <v>305</v>
      </c>
      <c r="E131" s="22">
        <f t="shared" ref="E131:G131" si="28">SUM(E132:E135)</f>
        <v>-6109</v>
      </c>
      <c r="F131" s="22">
        <f t="shared" si="28"/>
        <v>40</v>
      </c>
      <c r="G131" s="22">
        <f t="shared" si="28"/>
        <v>-352</v>
      </c>
      <c r="H131" s="22">
        <v>0</v>
      </c>
      <c r="I131" s="22">
        <f t="shared" ref="I131:L131" si="29">H131</f>
        <v>0</v>
      </c>
      <c r="J131" s="22">
        <f t="shared" si="29"/>
        <v>0</v>
      </c>
      <c r="K131" s="22">
        <f t="shared" si="29"/>
        <v>0</v>
      </c>
      <c r="L131" s="22">
        <f t="shared" si="29"/>
        <v>0</v>
      </c>
      <c r="M131" s="22"/>
      <c r="N131" s="10"/>
    </row>
    <row r="132" spans="1:14" x14ac:dyDescent="0.25">
      <c r="A132" s="10" t="s">
        <v>318</v>
      </c>
      <c r="B132" s="122"/>
      <c r="C132" s="125"/>
      <c r="D132" s="149">
        <f>IF(ISERROR(VLOOKUP("Net Other Income",Annual!$A$148:$E$213,5,0)),0,VLOOKUP("Net Other Income",Annual!$A$148:$E$213,5,0))</f>
        <v>305</v>
      </c>
      <c r="E132" s="149">
        <f>IF(ISERROR(VLOOKUP("Net Other Income",Annual!$A$148:$E$213,4,0)),0,VLOOKUP("Net Other Income",Annual!$A$148:$E$213,4,0))</f>
        <v>84</v>
      </c>
      <c r="F132" s="149">
        <f>IF(ISERROR(VLOOKUP("Net Other Income",Annual!$A$148:$E$213,3,0)),0,VLOOKUP("Net Other Income",Annual!$A$148:$E$213,3,0))</f>
        <v>40</v>
      </c>
      <c r="G132" s="149">
        <f>IF(ISERROR(VLOOKUP("Net Other Income",Annual!$A$148:$E$213,2,0)),0,VLOOKUP("Net Other Income",Annual!$A$148:$E$213,2,0))</f>
        <v>-225</v>
      </c>
      <c r="H132" s="22"/>
      <c r="I132" s="22"/>
      <c r="J132" s="22"/>
      <c r="K132" s="22"/>
      <c r="L132" s="22"/>
      <c r="M132" s="22"/>
      <c r="N132" s="10"/>
    </row>
    <row r="133" spans="1:14" x14ac:dyDescent="0.25">
      <c r="A133" s="10" t="s">
        <v>423</v>
      </c>
      <c r="B133" s="122"/>
      <c r="C133" s="125"/>
      <c r="D133" s="149">
        <f>IF(ISERROR(VLOOKUP("Income Acquired in Process R&amp;D",Annual!$A$148:$E$213,5,0)),0,VLOOKUP("Income Acquired in Process R&amp;D",Annual!$A$148:$E$213,5,0))</f>
        <v>0</v>
      </c>
      <c r="E133" s="149">
        <f>IF(ISERROR(VLOOKUP("Income Acquired in Process R&amp;D",Annual!$A$148:$E$213,4,0)),0,VLOOKUP("Income Acquired in Process R&amp;D",Annual!$A$148:$E$213,4,0))</f>
        <v>0</v>
      </c>
      <c r="F133" s="149">
        <f>IF(ISERROR(VLOOKUP("Income Acquired in Process R&amp;D",Annual!$A$148:$E$213,3,0)),0,VLOOKUP("Income Acquired in Process R&amp;D",Annual!$A$148:$E$213,3,0))</f>
        <v>0</v>
      </c>
      <c r="G133" s="149">
        <f>IF(ISERROR(VLOOKUP("Income Acquired in Process R&amp;D",Annual!$A$148:$E$213,2,0)),0,VLOOKUP("Income Acquired in Process R&amp;D",Annual!$A$148:$E$213,2,0))</f>
        <v>0</v>
      </c>
      <c r="H133" s="22"/>
      <c r="I133" s="22"/>
      <c r="J133" s="22"/>
      <c r="K133" s="22"/>
      <c r="L133" s="22"/>
      <c r="M133" s="22"/>
      <c r="N133" s="10"/>
    </row>
    <row r="134" spans="1:14" x14ac:dyDescent="0.25">
      <c r="A134" s="10" t="s">
        <v>439</v>
      </c>
      <c r="B134" s="122"/>
      <c r="C134" s="125"/>
      <c r="D134" s="149">
        <f>IF(ISERROR(VLOOKUP("Income Restructuring And M&amp;A ",Annual!$A$148:$F$213,5,0)),0,VLOOKUP("Income Restructuring And M&amp;A ",Annual!$A$148:$F$213,5,0))</f>
        <v>0</v>
      </c>
      <c r="E134" s="149">
        <f>IF(ISERROR(VLOOKUP("Income Restructuring And M&amp;A ",Annual!$A$148:$F$213,4,0)),0,VLOOKUP("Income Restructuring And M&amp;A ",Annual!$A$148:$F$213,4,0))</f>
        <v>0</v>
      </c>
      <c r="F134" s="149">
        <f>IF(ISERROR(VLOOKUP("Income Restructuring And M&amp;A ",Annual!$A$148:$F$213,3,0)),0,VLOOKUP("Income Restructuring And M&amp;A ",Annual!$A$148:$F$213,3,0))</f>
        <v>0</v>
      </c>
      <c r="G134" s="149">
        <f>IF(ISERROR(VLOOKUP("Income Restructuring And M&amp;A ",Annual!$A$148:$F$213,2,0)),0,VLOOKUP("Income Restructuring And M&amp;A ",Annual!$A$148:$F$213,2,0))</f>
        <v>-127</v>
      </c>
      <c r="H134" s="22"/>
      <c r="I134" s="22"/>
      <c r="J134" s="22"/>
      <c r="K134" s="22"/>
      <c r="L134" s="22"/>
      <c r="M134" s="22"/>
      <c r="N134" s="10"/>
    </row>
    <row r="135" spans="1:14" x14ac:dyDescent="0.25">
      <c r="A135" s="10" t="s">
        <v>424</v>
      </c>
      <c r="B135" s="122"/>
      <c r="C135" s="125"/>
      <c r="D135" s="149">
        <f>IF(ISERROR(VLOOKUP("Other Special Charges",Annual!$A$148:$F$213,5,0)),0,VLOOKUP("Other Special Charges",Annual!$A$148:$F$213,5,0))</f>
        <v>0</v>
      </c>
      <c r="E135" s="149">
        <f>IF(ISERROR(VLOOKUP("Other Special Charges",Annual!$A$148:$F$213,4,0)),0,VLOOKUP("Other Special Charges",Annual!$A$148:$F$213,4,0))</f>
        <v>-6193</v>
      </c>
      <c r="F135" s="149">
        <f>IF(ISERROR(VLOOKUP("Other Special Charges",Annual!$A$148:$F$213,3,0)),0,VLOOKUP("Other Special Charges",Annual!$A$148:$F$213,3,0))</f>
        <v>0</v>
      </c>
      <c r="G135" s="149">
        <f>IF(ISERROR(VLOOKUP("Other Special Charges",Annual!$A$148:$F$213,2,0)),0,VLOOKUP("Other Special Charges",Annual!$A$148:$F$213,2,0))</f>
        <v>0</v>
      </c>
      <c r="H135" s="22"/>
      <c r="I135" s="22"/>
      <c r="J135" s="22"/>
      <c r="K135" s="22"/>
      <c r="L135" s="22"/>
      <c r="M135" s="22"/>
      <c r="N135" s="10"/>
    </row>
    <row r="136" spans="1:14" x14ac:dyDescent="0.25">
      <c r="A136" s="10"/>
      <c r="B136" s="122"/>
      <c r="C136" s="125"/>
      <c r="D136" s="22"/>
      <c r="E136" s="22"/>
      <c r="F136" s="22"/>
      <c r="G136" s="22"/>
      <c r="H136" s="22"/>
      <c r="I136" s="22"/>
      <c r="J136" s="22"/>
      <c r="K136" s="22"/>
      <c r="L136" s="22"/>
      <c r="M136" s="22"/>
      <c r="N136" s="10"/>
    </row>
    <row r="137" spans="1:14" x14ac:dyDescent="0.25">
      <c r="A137" s="10" t="s">
        <v>101</v>
      </c>
      <c r="B137" s="18"/>
      <c r="C137" s="22"/>
      <c r="D137" s="54">
        <f t="shared" ref="D137:L137" si="30">SUM(D129:D131)</f>
        <v>1205</v>
      </c>
      <c r="E137" s="54">
        <f t="shared" si="30"/>
        <v>-5309</v>
      </c>
      <c r="F137" s="54">
        <f t="shared" si="30"/>
        <v>717</v>
      </c>
      <c r="G137" s="54">
        <f t="shared" si="30"/>
        <v>531</v>
      </c>
      <c r="H137" s="54">
        <f t="shared" si="30"/>
        <v>883</v>
      </c>
      <c r="I137" s="54">
        <f t="shared" si="30"/>
        <v>883</v>
      </c>
      <c r="J137" s="54">
        <f t="shared" si="30"/>
        <v>883</v>
      </c>
      <c r="K137" s="54">
        <f t="shared" si="30"/>
        <v>883</v>
      </c>
      <c r="L137" s="54">
        <f t="shared" si="30"/>
        <v>883</v>
      </c>
      <c r="M137" s="22"/>
      <c r="N137" s="10"/>
    </row>
    <row r="138" spans="1:14" x14ac:dyDescent="0.25">
      <c r="A138" s="10"/>
      <c r="B138" s="18"/>
      <c r="C138" s="22"/>
      <c r="D138" s="19"/>
      <c r="E138" s="19"/>
      <c r="F138" s="19"/>
      <c r="G138" s="19"/>
      <c r="H138" s="22"/>
      <c r="I138" s="22"/>
      <c r="J138" s="22"/>
      <c r="K138" s="22"/>
      <c r="L138" s="22"/>
      <c r="M138" s="22"/>
      <c r="N138" s="10"/>
    </row>
    <row r="139" spans="1:14" x14ac:dyDescent="0.25">
      <c r="A139" s="10" t="s">
        <v>23</v>
      </c>
      <c r="B139" s="18"/>
      <c r="C139" s="22"/>
      <c r="D139" s="54">
        <f>D122+D125+D137</f>
        <v>28071</v>
      </c>
      <c r="E139" s="54">
        <f>E122+E125+E137</f>
        <v>22267</v>
      </c>
      <c r="F139" s="54">
        <f>F122+F125+F137</f>
        <v>27052</v>
      </c>
      <c r="G139" s="54">
        <f>G122+G125+G137</f>
        <v>27820</v>
      </c>
      <c r="H139" s="54">
        <f>H116+H125+H137-H120</f>
        <v>25867.772914660076</v>
      </c>
      <c r="I139" s="54">
        <f>I116+I125+I137-I120</f>
        <v>28279.105254346036</v>
      </c>
      <c r="J139" s="54">
        <f>J116+J125+J137-J120</f>
        <v>31238.404314445666</v>
      </c>
      <c r="K139" s="54">
        <f>K116+K125+K137-K120</f>
        <v>33936.490785025147</v>
      </c>
      <c r="L139" s="54">
        <f>L116+L125+L137-L120</f>
        <v>36318.04281904253</v>
      </c>
      <c r="M139" s="22"/>
      <c r="N139" s="10"/>
    </row>
    <row r="140" spans="1:14" x14ac:dyDescent="0.25">
      <c r="A140" s="30" t="s">
        <v>111</v>
      </c>
      <c r="B140" s="18"/>
      <c r="C140" s="22"/>
      <c r="D140" s="51">
        <f>Annual!E18</f>
        <v>0</v>
      </c>
      <c r="E140" s="51">
        <f>Annual!D18</f>
        <v>0</v>
      </c>
      <c r="F140" s="51">
        <f>Annual!C18</f>
        <v>0</v>
      </c>
      <c r="G140" s="51">
        <f>Annual!B18</f>
        <v>0</v>
      </c>
      <c r="H140" s="22"/>
      <c r="I140" s="22"/>
      <c r="J140" s="22"/>
      <c r="K140" s="22"/>
      <c r="L140" s="22"/>
      <c r="M140" s="22"/>
      <c r="N140" s="10"/>
    </row>
    <row r="141" spans="1:14" x14ac:dyDescent="0.25">
      <c r="A141" s="10"/>
      <c r="B141" s="18"/>
      <c r="C141" s="22"/>
      <c r="D141" s="19"/>
      <c r="E141" s="19"/>
      <c r="F141" s="19"/>
      <c r="G141" s="19"/>
      <c r="H141" s="22"/>
      <c r="I141" s="22"/>
      <c r="J141" s="22"/>
      <c r="K141" s="22"/>
      <c r="L141" s="22"/>
      <c r="M141" s="22"/>
      <c r="N141" s="10"/>
    </row>
    <row r="142" spans="1:14" x14ac:dyDescent="0.25">
      <c r="A142" s="10" t="s">
        <v>321</v>
      </c>
      <c r="B142" s="18"/>
      <c r="C142" s="22"/>
      <c r="D142" s="146">
        <f>IF(ISERROR(VLOOKUP(A142,Annual!$A$148:$E$213, 5,0)), 0, VLOOKUP(A142,Annual!$A$148:$E$213, 5,0))</f>
        <v>4921</v>
      </c>
      <c r="E142" s="146">
        <f>IF(ISERROR(VLOOKUP(A142,Annual!$A$148:$E$213, 4,0)), 0, VLOOKUP(A142,Annual!$A$148:$E$213, 4,0))</f>
        <v>5289</v>
      </c>
      <c r="F142" s="146">
        <f>IF(ISERROR(VLOOKUP(A142,Annual!$A$148:$E$213, 3,0)), 0, VLOOKUP(A142,Annual!$A$148:$E$213, 3,0))</f>
        <v>5189</v>
      </c>
      <c r="G142" s="146">
        <f>IF(ISERROR(VLOOKUP(A142,Annual!$A$148:$E$213, 2,0)), 0, VLOOKUP(A142,Annual!$A$148:$E$213, 2,0))</f>
        <v>5746</v>
      </c>
      <c r="H142" s="54">
        <f>H143*H139</f>
        <v>5342.7830038690436</v>
      </c>
      <c r="I142" s="54">
        <f>I143*I139</f>
        <v>5840.8245431873593</v>
      </c>
      <c r="J142" s="54">
        <f>J143*J139</f>
        <v>6452.04425560046</v>
      </c>
      <c r="K142" s="54">
        <f>K143*K139</f>
        <v>7009.3125827014555</v>
      </c>
      <c r="L142" s="54">
        <f>L143*L139</f>
        <v>7501.2032364564484</v>
      </c>
      <c r="M142" s="22"/>
      <c r="N142" s="10"/>
    </row>
    <row r="143" spans="1:14" x14ac:dyDescent="0.25">
      <c r="A143" s="10" t="s">
        <v>105</v>
      </c>
      <c r="B143" s="18"/>
      <c r="C143" s="16"/>
      <c r="D143" s="16">
        <f>D142/D139</f>
        <v>0.17530547540166008</v>
      </c>
      <c r="E143" s="16">
        <f>E142/E139</f>
        <v>0.23752638433556383</v>
      </c>
      <c r="F143" s="16">
        <f>F142/F139</f>
        <v>0.19181576223569421</v>
      </c>
      <c r="G143" s="16">
        <f>G142/G139</f>
        <v>0.20654205607476636</v>
      </c>
      <c r="H143" s="135">
        <f>B51</f>
        <v>0.20654205607476636</v>
      </c>
      <c r="I143" s="16">
        <f>H143</f>
        <v>0.20654205607476636</v>
      </c>
      <c r="J143" s="16">
        <f>I143</f>
        <v>0.20654205607476636</v>
      </c>
      <c r="K143" s="16">
        <f>J143</f>
        <v>0.20654205607476636</v>
      </c>
      <c r="L143" s="16">
        <f>K143</f>
        <v>0.20654205607476636</v>
      </c>
      <c r="M143" s="16">
        <f>AVERAGE(E143:G143)</f>
        <v>0.21196140088200813</v>
      </c>
      <c r="N143" s="12">
        <f>AVERAGE(H143:L143)</f>
        <v>0.20654205607476633</v>
      </c>
    </row>
    <row r="144" spans="1:14" x14ac:dyDescent="0.25">
      <c r="A144" s="10"/>
      <c r="B144" s="18"/>
      <c r="C144" s="18"/>
      <c r="D144" s="10"/>
      <c r="E144" s="10"/>
      <c r="F144" s="10"/>
      <c r="G144" s="10"/>
      <c r="H144" s="10"/>
      <c r="I144" s="10"/>
      <c r="J144" s="10"/>
      <c r="K144" s="10"/>
      <c r="L144" s="10"/>
      <c r="M144" s="18"/>
      <c r="N144" s="10"/>
    </row>
    <row r="145" spans="1:18" x14ac:dyDescent="0.25">
      <c r="A145" s="10" t="s">
        <v>176</v>
      </c>
      <c r="B145" s="18"/>
      <c r="C145" s="18"/>
      <c r="D145" s="44">
        <f t="shared" ref="D145:L145" si="31">$B$51*D116</f>
        <v>5609.888785046729</v>
      </c>
      <c r="E145" s="44">
        <f t="shared" si="31"/>
        <v>5774.0897196261685</v>
      </c>
      <c r="F145" s="44">
        <f t="shared" si="31"/>
        <v>5527.8915887850471</v>
      </c>
      <c r="G145" s="44">
        <f t="shared" si="31"/>
        <v>5759.6317757009347</v>
      </c>
      <c r="H145" s="44">
        <f t="shared" si="31"/>
        <v>5283.7119758316603</v>
      </c>
      <c r="I145" s="44">
        <f t="shared" si="31"/>
        <v>5781.753515149976</v>
      </c>
      <c r="J145" s="44">
        <f t="shared" si="31"/>
        <v>6392.9732275630768</v>
      </c>
      <c r="K145" s="44">
        <f t="shared" si="31"/>
        <v>6950.2415546640723</v>
      </c>
      <c r="L145" s="44">
        <f t="shared" si="31"/>
        <v>7442.1322084190651</v>
      </c>
      <c r="M145" s="18"/>
      <c r="N145" s="10"/>
    </row>
    <row r="146" spans="1:18" x14ac:dyDescent="0.25">
      <c r="A146" s="10"/>
      <c r="B146" s="18"/>
      <c r="C146" s="18"/>
      <c r="D146" s="10"/>
      <c r="E146" s="10"/>
      <c r="F146" s="10"/>
      <c r="G146" s="10"/>
      <c r="H146" s="10"/>
      <c r="I146" s="10"/>
      <c r="J146" s="10"/>
      <c r="K146" s="10"/>
      <c r="L146" s="10"/>
      <c r="M146" s="18"/>
      <c r="N146" s="10"/>
    </row>
    <row r="147" spans="1:18" x14ac:dyDescent="0.25">
      <c r="A147" s="10" t="s">
        <v>112</v>
      </c>
      <c r="B147" s="18"/>
      <c r="C147" s="18"/>
      <c r="D147" s="44">
        <f>D139-D142</f>
        <v>23150</v>
      </c>
      <c r="E147" s="44">
        <f>E139-E142</f>
        <v>16978</v>
      </c>
      <c r="F147" s="44">
        <f>F139-F142</f>
        <v>21863</v>
      </c>
      <c r="G147" s="44">
        <f>G139-G142</f>
        <v>22074</v>
      </c>
      <c r="H147" s="44">
        <f t="shared" ref="H147:L147" si="32">H139-H142</f>
        <v>20524.989910791031</v>
      </c>
      <c r="I147" s="44">
        <f t="shared" si="32"/>
        <v>22438.280711158677</v>
      </c>
      <c r="J147" s="44">
        <f t="shared" si="32"/>
        <v>24786.360058845206</v>
      </c>
      <c r="K147" s="44">
        <f t="shared" si="32"/>
        <v>26927.178202323692</v>
      </c>
      <c r="L147" s="44">
        <f t="shared" si="32"/>
        <v>28816.839582586083</v>
      </c>
      <c r="M147" s="18"/>
      <c r="N147" s="10"/>
    </row>
    <row r="148" spans="1:18" x14ac:dyDescent="0.25">
      <c r="A148" s="30" t="s">
        <v>113</v>
      </c>
      <c r="B148" s="18"/>
      <c r="C148" s="18"/>
      <c r="D148" s="51">
        <f>Annual!E19</f>
        <v>0</v>
      </c>
      <c r="E148" s="51">
        <f>Annual!D19</f>
        <v>0</v>
      </c>
      <c r="F148" s="51">
        <f>Annual!C19</f>
        <v>0</v>
      </c>
      <c r="G148" s="51">
        <f>Annual!B19</f>
        <v>0</v>
      </c>
      <c r="H148" s="18"/>
      <c r="I148" s="18"/>
      <c r="J148" s="18"/>
      <c r="K148" s="18"/>
      <c r="L148" s="18"/>
      <c r="M148" s="18"/>
      <c r="N148" s="10"/>
    </row>
    <row r="149" spans="1:18" x14ac:dyDescent="0.25">
      <c r="A149" s="30"/>
      <c r="B149" s="18"/>
      <c r="C149" s="18"/>
      <c r="D149" s="10"/>
      <c r="E149" s="10"/>
      <c r="F149" s="10"/>
      <c r="G149" s="10"/>
      <c r="H149" s="18"/>
      <c r="I149" s="18"/>
      <c r="J149" s="18"/>
      <c r="K149" s="18"/>
      <c r="L149" s="18"/>
      <c r="M149" s="18"/>
      <c r="N149" s="10"/>
    </row>
    <row r="150" spans="1:18" x14ac:dyDescent="0.25">
      <c r="A150" s="10" t="s">
        <v>106</v>
      </c>
      <c r="B150" s="18"/>
      <c r="C150" s="18"/>
      <c r="D150" s="54">
        <f>Annual!E143</f>
        <v>0</v>
      </c>
      <c r="E150" s="54">
        <f>Annual!D143</f>
        <v>0</v>
      </c>
      <c r="F150" s="54">
        <f>IF(Annual!C143="-", E150, Annual!C143)</f>
        <v>0</v>
      </c>
      <c r="G150" s="54">
        <f>IF(Annual!B143="-", F150, Annual!B143)</f>
        <v>0</v>
      </c>
      <c r="H150" s="18"/>
      <c r="I150" s="18"/>
      <c r="J150" s="18"/>
      <c r="K150" s="18"/>
      <c r="L150" s="18"/>
      <c r="M150" s="18"/>
      <c r="N150" s="10"/>
    </row>
    <row r="151" spans="1:18" x14ac:dyDescent="0.25">
      <c r="A151" s="10" t="s">
        <v>107</v>
      </c>
      <c r="B151" s="18"/>
      <c r="C151" s="18"/>
      <c r="D151" s="16">
        <f>D150/D139</f>
        <v>0</v>
      </c>
      <c r="E151" s="16">
        <f>E150/E139</f>
        <v>0</v>
      </c>
      <c r="F151" s="16">
        <f>F150/F139</f>
        <v>0</v>
      </c>
      <c r="G151" s="16">
        <f>G150/G139</f>
        <v>0</v>
      </c>
      <c r="H151" s="18"/>
      <c r="I151" s="18"/>
      <c r="J151" s="18"/>
      <c r="K151" s="18"/>
      <c r="L151" s="18"/>
      <c r="M151" s="18"/>
      <c r="N151" s="10"/>
    </row>
    <row r="152" spans="1:18" x14ac:dyDescent="0.25">
      <c r="A152" s="10"/>
      <c r="B152" s="18"/>
      <c r="C152" s="18"/>
      <c r="D152" s="10"/>
      <c r="E152" s="10"/>
      <c r="F152" s="10"/>
      <c r="G152" s="10"/>
      <c r="H152" s="10"/>
      <c r="I152" s="10"/>
      <c r="J152" s="10"/>
      <c r="K152" s="10"/>
      <c r="L152" s="10"/>
      <c r="M152" s="18"/>
      <c r="N152" s="10"/>
    </row>
    <row r="153" spans="1:18" x14ac:dyDescent="0.25">
      <c r="A153" s="10" t="s">
        <v>89</v>
      </c>
      <c r="B153" s="18"/>
      <c r="C153" s="18"/>
      <c r="D153" s="146">
        <f>IF(ISERROR(-VLOOKUP(A153,Annual!$A$148:$E$213, 5,0)), 0, -VLOOKUP(A153,Annual!$A$148:$E$213, 5,0))</f>
        <v>0</v>
      </c>
      <c r="E153" s="146">
        <f>IF(ISERROR(-VLOOKUP(A153,Annual!$A$148:$E$213, 4,0)), 0, -VLOOKUP(A153,Annual!$A$148:$E$213, 4,0))</f>
        <v>0</v>
      </c>
      <c r="F153" s="146">
        <f>IF(ISERROR(-VLOOKUP(A153,Annual!$A$148:$E$213, 3,0)), 0, -VLOOKUP(A153,Annual!$A$148:$E$213, 3,0))</f>
        <v>0</v>
      </c>
      <c r="G153" s="146">
        <f>IF(ISERROR(-VLOOKUP(A153,Annual!$A$148:$E$213, 2,0)), 0, -VLOOKUP(A153,Annual!$A$148:$E$213, 2,0))</f>
        <v>0</v>
      </c>
      <c r="H153" s="18">
        <f t="shared" ref="H153:L154" si="33">G153</f>
        <v>0</v>
      </c>
      <c r="I153" s="18">
        <f t="shared" si="33"/>
        <v>0</v>
      </c>
      <c r="J153" s="18">
        <f t="shared" si="33"/>
        <v>0</v>
      </c>
      <c r="K153" s="18">
        <f t="shared" si="33"/>
        <v>0</v>
      </c>
      <c r="L153" s="18">
        <f t="shared" si="33"/>
        <v>0</v>
      </c>
      <c r="M153" s="18"/>
      <c r="N153" s="10"/>
    </row>
    <row r="154" spans="1:18" x14ac:dyDescent="0.25">
      <c r="A154" s="18" t="s">
        <v>399</v>
      </c>
      <c r="B154" s="18"/>
      <c r="C154" s="18"/>
      <c r="D154" s="18">
        <f>IF(Annual!E21="-",0, Annual!E21)</f>
        <v>0</v>
      </c>
      <c r="E154" s="18">
        <f>IF(Annual!D21="-",0, Annual!D21)</f>
        <v>0</v>
      </c>
      <c r="F154" s="18">
        <f>IF(Annual!C21="-",0, Annual!C21)</f>
        <v>0</v>
      </c>
      <c r="G154" s="18">
        <f>IF(Annual!B21="-",0, Annual!B21)</f>
        <v>0</v>
      </c>
      <c r="H154" s="18">
        <f t="shared" si="33"/>
        <v>0</v>
      </c>
      <c r="I154" s="18">
        <f t="shared" si="33"/>
        <v>0</v>
      </c>
      <c r="J154" s="18">
        <f t="shared" si="33"/>
        <v>0</v>
      </c>
      <c r="K154" s="18">
        <f t="shared" si="33"/>
        <v>0</v>
      </c>
      <c r="L154" s="18">
        <f t="shared" si="33"/>
        <v>0</v>
      </c>
      <c r="M154" s="18"/>
      <c r="N154" s="10"/>
    </row>
    <row r="155" spans="1:18" x14ac:dyDescent="0.25">
      <c r="A155" s="10"/>
      <c r="B155" s="18"/>
      <c r="C155" s="18"/>
      <c r="D155" s="10"/>
      <c r="E155" s="10"/>
      <c r="F155" s="10"/>
      <c r="G155" s="10"/>
      <c r="H155" s="10"/>
      <c r="I155" s="10"/>
      <c r="J155" s="10"/>
      <c r="K155" s="10"/>
      <c r="L155" s="10"/>
      <c r="M155" s="18"/>
      <c r="N155" s="10"/>
    </row>
    <row r="156" spans="1:18" x14ac:dyDescent="0.25">
      <c r="A156" s="10" t="s">
        <v>223</v>
      </c>
      <c r="B156" s="18"/>
      <c r="C156" s="18"/>
      <c r="D156" s="54">
        <f>D147+D153+D154</f>
        <v>23150</v>
      </c>
      <c r="E156" s="54">
        <f t="shared" ref="E156:G156" si="34">E147+E153+E154</f>
        <v>16978</v>
      </c>
      <c r="F156" s="54">
        <f t="shared" si="34"/>
        <v>21863</v>
      </c>
      <c r="G156" s="54">
        <f t="shared" si="34"/>
        <v>22074</v>
      </c>
      <c r="H156" s="54">
        <f>H139-H142+H153+H154</f>
        <v>20524.989910791031</v>
      </c>
      <c r="I156" s="54">
        <f t="shared" ref="I156:L156" si="35">I139-I142+I153+I154</f>
        <v>22438.280711158677</v>
      </c>
      <c r="J156" s="54">
        <f t="shared" si="35"/>
        <v>24786.360058845206</v>
      </c>
      <c r="K156" s="54">
        <f t="shared" si="35"/>
        <v>26927.178202323692</v>
      </c>
      <c r="L156" s="54">
        <f t="shared" si="35"/>
        <v>28816.839582586083</v>
      </c>
      <c r="M156" s="22"/>
      <c r="N156" s="10"/>
      <c r="R156" s="66">
        <f>(L156/D156)^(1/8)-1</f>
        <v>2.7748659955749266E-2</v>
      </c>
    </row>
    <row r="157" spans="1:18" x14ac:dyDescent="0.25">
      <c r="A157" s="30" t="s">
        <v>111</v>
      </c>
      <c r="B157" s="122"/>
      <c r="C157" s="122"/>
      <c r="D157" s="107">
        <f>Annual!E22</f>
        <v>0</v>
      </c>
      <c r="E157" s="107">
        <f>Annual!D22</f>
        <v>0</v>
      </c>
      <c r="F157" s="107">
        <f>Annual!C22</f>
        <v>0</v>
      </c>
      <c r="G157" s="107">
        <f>Annual!B22</f>
        <v>0</v>
      </c>
      <c r="H157" s="54"/>
      <c r="I157" s="54"/>
      <c r="J157" s="54"/>
      <c r="K157" s="54"/>
      <c r="L157" s="54"/>
      <c r="M157" s="22"/>
      <c r="N157" s="10"/>
      <c r="R157" s="66"/>
    </row>
    <row r="158" spans="1:18" x14ac:dyDescent="0.25">
      <c r="A158" s="10" t="s">
        <v>224</v>
      </c>
      <c r="B158" s="18"/>
      <c r="C158" s="16"/>
      <c r="D158" s="16">
        <f t="shared" ref="D158:L158" si="36">D156/D70</f>
        <v>0.3309838010951775</v>
      </c>
      <c r="E158" s="16">
        <f t="shared" si="36"/>
        <v>0.23029448069123612</v>
      </c>
      <c r="F158" s="16">
        <f t="shared" si="36"/>
        <v>0.28083854641678119</v>
      </c>
      <c r="G158" s="16">
        <f t="shared" si="36"/>
        <v>0.25421210829983992</v>
      </c>
      <c r="H158" s="16">
        <f t="shared" si="36"/>
        <v>0.21933112372326696</v>
      </c>
      <c r="I158" s="16">
        <f t="shared" si="36"/>
        <v>0.24171033269583053</v>
      </c>
      <c r="J158" s="16">
        <f t="shared" si="36"/>
        <v>0.24907125443144429</v>
      </c>
      <c r="K158" s="16">
        <f t="shared" si="36"/>
        <v>0.25647748048727098</v>
      </c>
      <c r="L158" s="16">
        <f t="shared" si="36"/>
        <v>0.26391945385976601</v>
      </c>
      <c r="M158" s="16"/>
      <c r="N158" s="10"/>
    </row>
    <row r="159" spans="1:18" x14ac:dyDescent="0.25">
      <c r="A159" s="10" t="s">
        <v>225</v>
      </c>
      <c r="B159" s="18"/>
      <c r="C159" s="16"/>
      <c r="D159" s="16"/>
      <c r="E159" s="16">
        <f>IF(ISERROR(E156/D156-1), "na", E156/D156-1)</f>
        <v>-0.266609071274298</v>
      </c>
      <c r="F159" s="16">
        <f t="shared" ref="F159:L159" si="37">F156/E156-1</f>
        <v>0.28772529155377558</v>
      </c>
      <c r="G159" s="16">
        <f t="shared" si="37"/>
        <v>9.651008553263507E-3</v>
      </c>
      <c r="H159" s="16">
        <f t="shared" si="37"/>
        <v>-7.0173511335008043E-2</v>
      </c>
      <c r="I159" s="16">
        <f t="shared" si="37"/>
        <v>9.3217624402423205E-2</v>
      </c>
      <c r="J159" s="16">
        <f t="shared" si="37"/>
        <v>0.10464613478691431</v>
      </c>
      <c r="K159" s="16">
        <f t="shared" si="37"/>
        <v>8.6370815980885363E-2</v>
      </c>
      <c r="L159" s="16">
        <f t="shared" si="37"/>
        <v>7.0176732447194246E-2</v>
      </c>
      <c r="M159" s="16">
        <f>AVERAGE(E159:G159)</f>
        <v>1.0255742944247026E-2</v>
      </c>
      <c r="N159" s="12">
        <f>AVERAGE(H159:L159)</f>
        <v>5.6847559256481814E-2</v>
      </c>
    </row>
    <row r="160" spans="1:18" x14ac:dyDescent="0.25">
      <c r="A160" s="10"/>
      <c r="B160" s="18"/>
      <c r="C160" s="18"/>
      <c r="D160" s="10"/>
      <c r="E160" s="10"/>
      <c r="F160" s="10"/>
      <c r="G160" s="10"/>
      <c r="H160" s="10"/>
      <c r="I160" s="10"/>
      <c r="J160" s="10"/>
      <c r="K160" s="10"/>
      <c r="L160" s="10"/>
      <c r="M160" s="18"/>
      <c r="N160" s="10"/>
    </row>
    <row r="161" spans="1:14" x14ac:dyDescent="0.25">
      <c r="A161" s="10" t="s">
        <v>412</v>
      </c>
      <c r="B161" s="18"/>
      <c r="C161" s="18"/>
      <c r="D161" s="54">
        <f>SUM(D162:D165)</f>
        <v>0</v>
      </c>
      <c r="E161" s="54">
        <f t="shared" ref="E161:G161" si="38">SUM(E162:E165)</f>
        <v>0</v>
      </c>
      <c r="F161" s="54">
        <f t="shared" si="38"/>
        <v>0</v>
      </c>
      <c r="G161" s="54">
        <f t="shared" si="38"/>
        <v>0</v>
      </c>
      <c r="H161" s="44">
        <v>0</v>
      </c>
      <c r="I161" s="10">
        <v>0</v>
      </c>
      <c r="J161" s="10">
        <v>0</v>
      </c>
      <c r="K161" s="10">
        <v>0</v>
      </c>
      <c r="L161" s="10">
        <v>0</v>
      </c>
      <c r="M161" s="18"/>
      <c r="N161" s="10"/>
    </row>
    <row r="162" spans="1:14" x14ac:dyDescent="0.25">
      <c r="A162" s="10" t="s">
        <v>425</v>
      </c>
      <c r="B162" s="18"/>
      <c r="C162" s="18"/>
      <c r="D162" s="147">
        <f>IF(ISERROR(VLOOKUP("Extraordinary Income/Losses",Annual!$A$148:$E$213,5,0)),0,VLOOKUP("Extraordinary Income/Losses",Annual!$A$148:$E$213,5,0))</f>
        <v>0</v>
      </c>
      <c r="E162" s="147">
        <f>IF(ISERROR(VLOOKUP("Extraordinary Income/Losses",Annual!$A$148:$E$213,4,0)),0,VLOOKUP("Extraordinary Income/Losses",Annual!$A$148:$E$213,4,0))</f>
        <v>0</v>
      </c>
      <c r="F162" s="147">
        <f>IF(ISERROR(VLOOKUP("Extraordinary Income/Losses",Annual!$A$148:$E$213,3,0)),0,VLOOKUP("Extraordinary Income/Losses",Annual!$A$148:$E$213,3,0))</f>
        <v>0</v>
      </c>
      <c r="G162" s="147">
        <f>IF(ISERROR(VLOOKUP("Extraordinary Income/Losses",Annual!$A$148:$E$213,2,0)),0,VLOOKUP("Extraordinary Income/Losses",Annual!$A$148:$E$213,2,0))</f>
        <v>0</v>
      </c>
      <c r="H162" s="44"/>
      <c r="I162" s="10"/>
      <c r="J162" s="10"/>
      <c r="K162" s="10"/>
      <c r="L162" s="10"/>
      <c r="M162" s="18"/>
      <c r="N162" s="10"/>
    </row>
    <row r="163" spans="1:14" x14ac:dyDescent="0.25">
      <c r="A163" s="10" t="s">
        <v>426</v>
      </c>
      <c r="B163" s="18"/>
      <c r="C163" s="18"/>
      <c r="D163" s="147">
        <f>IF(ISERROR(VLOOKUP("Income from Cum. Effect of Acct Chg",Annual!$A$148:$E$213,5,0)),0,VLOOKUP("Income from Cum. Effect of Acct Chg",Annual!$A$148:$E$213,5,0))</f>
        <v>0</v>
      </c>
      <c r="E163" s="147">
        <f>IF(ISERROR(VLOOKUP("Income from Cum. Effect of Acct Chg",Annual!$A$148:$E$213,4,0)),0,VLOOKUP("Income from Cum. Effect of Acct Chg",Annual!$A$148:$E$213,4,0))</f>
        <v>0</v>
      </c>
      <c r="F163" s="147">
        <f>IF(ISERROR(VLOOKUP("Income from Cum. Effect of Acct Chg",Annual!$A$148:$E$213,3,0)),0,VLOOKUP("Income from Cum. Effect of Acct Chg",Annual!$A$148:$E$213,3,0))</f>
        <v>0</v>
      </c>
      <c r="G163" s="147">
        <f>IF(ISERROR(VLOOKUP("Income from Cum. Effect of Acct Chg",Annual!$A$148:$E$213,2,0)),0,VLOOKUP("Income from Cum. Effect of Acct Chg",Annual!$A$148:$E$213,2,0))</f>
        <v>0</v>
      </c>
      <c r="H163" s="44"/>
      <c r="I163" s="10"/>
      <c r="J163" s="10"/>
      <c r="K163" s="10"/>
      <c r="L163" s="10"/>
      <c r="M163" s="18"/>
      <c r="N163" s="10"/>
    </row>
    <row r="164" spans="1:14" x14ac:dyDescent="0.25">
      <c r="A164" s="10" t="s">
        <v>427</v>
      </c>
      <c r="B164" s="18"/>
      <c r="C164" s="18"/>
      <c r="D164" s="147">
        <f>IF(ISERROR(VLOOKUP("Income from Tax Loss Carryforward",Annual!$A$148:$F$213,5,0)),0,VLOOKUP("Income from Tax Loss Carryforward",Annual!$A$148:$F$213,5,0))</f>
        <v>0</v>
      </c>
      <c r="E164" s="147">
        <f>IF(ISERROR(VLOOKUP("Income from Tax Loss Carryforward",Annual!$A$148:$F$213,4,0)),0,VLOOKUP("Income from Tax Loss Carryforward",Annual!$A$148:$F$213,4,0))</f>
        <v>0</v>
      </c>
      <c r="F164" s="147">
        <f>IF(ISERROR(VLOOKUP("Income from Tax Loss Carryforward",Annual!$A$148:$F$213,3,0)),0,VLOOKUP("Income from Tax Loss Carryforward",Annual!$A$148:$F$213,3,0))</f>
        <v>0</v>
      </c>
      <c r="G164" s="147">
        <f>IF(ISERROR(VLOOKUP("Income from Tax Loss Carryforward",Annual!$A$148:$F$213,2,0)),0,VLOOKUP("Income from Tax Loss Carryforward",Annual!$A$148:$F$213,2,0))</f>
        <v>0</v>
      </c>
      <c r="H164" s="44"/>
      <c r="I164" s="10"/>
      <c r="J164" s="10"/>
      <c r="K164" s="10"/>
      <c r="L164" s="10"/>
      <c r="M164" s="18"/>
      <c r="N164" s="10"/>
    </row>
    <row r="165" spans="1:14" x14ac:dyDescent="0.25">
      <c r="A165" s="10" t="s">
        <v>428</v>
      </c>
      <c r="B165" s="18"/>
      <c r="C165" s="18"/>
      <c r="D165" s="147">
        <f>IF(ISERROR(VLOOKUP("Other Gains (Losses)",Annual!$A$148:$F$213,5,0)),0,VLOOKUP("Other Gains (Losses)",Annual!$A$148:$F$213,5,0))</f>
        <v>0</v>
      </c>
      <c r="E165" s="147">
        <f>IF(ISERROR(VLOOKUP("Other Gains (Losses)",Annual!$A$148:$F$213,4,0)),0,VLOOKUP("Other Gains (Losses)",Annual!$A$148:$F$213,4,0))</f>
        <v>0</v>
      </c>
      <c r="F165" s="147">
        <f>IF(ISERROR(VLOOKUP("Other Gains (Losses)",Annual!$A$148:$F$213,3,0)),0,VLOOKUP("Other Gains (Losses)",Annual!$A$148:$F$213,3,0))</f>
        <v>0</v>
      </c>
      <c r="G165" s="147">
        <f>IF(ISERROR(VLOOKUP("Other Gains (Losses)",Annual!$A$148:$F$213,2,0)),0,VLOOKUP("Other Gains (Losses)",Annual!$A$148:$F$213,2,0))</f>
        <v>0</v>
      </c>
      <c r="H165" s="44"/>
      <c r="I165" s="10"/>
      <c r="J165" s="10"/>
      <c r="K165" s="10"/>
      <c r="L165" s="10"/>
      <c r="M165" s="18"/>
      <c r="N165" s="10"/>
    </row>
    <row r="166" spans="1:14" x14ac:dyDescent="0.25">
      <c r="A166" s="10"/>
      <c r="B166" s="18"/>
      <c r="C166" s="18"/>
      <c r="D166" s="54"/>
      <c r="E166" s="54"/>
      <c r="F166" s="54"/>
      <c r="G166" s="54"/>
      <c r="H166" s="44"/>
      <c r="I166" s="10"/>
      <c r="J166" s="10"/>
      <c r="K166" s="10"/>
      <c r="L166" s="10"/>
      <c r="M166" s="18"/>
      <c r="N166" s="10"/>
    </row>
    <row r="167" spans="1:14" x14ac:dyDescent="0.25">
      <c r="A167" s="10" t="s">
        <v>24</v>
      </c>
      <c r="B167" s="18"/>
      <c r="C167" s="18"/>
      <c r="D167" s="44">
        <f>D156+D161</f>
        <v>23150</v>
      </c>
      <c r="E167" s="44">
        <f t="shared" ref="E167:G167" si="39">E156+E161</f>
        <v>16978</v>
      </c>
      <c r="F167" s="44">
        <f t="shared" si="39"/>
        <v>21863</v>
      </c>
      <c r="G167" s="44">
        <f t="shared" si="39"/>
        <v>22074</v>
      </c>
      <c r="H167" s="44">
        <f>H156+H161</f>
        <v>20524.989910791031</v>
      </c>
      <c r="I167" s="44">
        <f t="shared" ref="I167:L167" si="40">I156+I161</f>
        <v>22438.280711158677</v>
      </c>
      <c r="J167" s="44">
        <f t="shared" si="40"/>
        <v>24786.360058845206</v>
      </c>
      <c r="K167" s="44">
        <f t="shared" si="40"/>
        <v>26927.178202323692</v>
      </c>
      <c r="L167" s="44">
        <f t="shared" si="40"/>
        <v>28816.839582586083</v>
      </c>
      <c r="M167" s="18"/>
      <c r="N167" s="10"/>
    </row>
    <row r="168" spans="1:14" x14ac:dyDescent="0.25">
      <c r="A168" s="10" t="s">
        <v>305</v>
      </c>
      <c r="B168" s="18"/>
      <c r="C168" s="18"/>
      <c r="D168" s="10"/>
      <c r="E168" s="10"/>
      <c r="F168" s="10"/>
      <c r="G168" s="10"/>
      <c r="H168" s="158">
        <f>H63*H180/B12*E169</f>
        <v>20524.989910791028</v>
      </c>
      <c r="I168" s="158">
        <f>I63*I180/B12*F169</f>
        <v>22438.28071115867</v>
      </c>
      <c r="J168" s="10"/>
      <c r="K168" s="10"/>
      <c r="L168" s="10"/>
      <c r="M168" s="18"/>
      <c r="N168" s="10"/>
    </row>
    <row r="169" spans="1:14" x14ac:dyDescent="0.25">
      <c r="A169" s="10" t="s">
        <v>262</v>
      </c>
      <c r="B169" s="18"/>
      <c r="C169" s="18"/>
      <c r="D169" s="10"/>
      <c r="E169" s="10">
        <v>1.01</v>
      </c>
      <c r="F169" s="10">
        <v>1.01</v>
      </c>
      <c r="G169" s="10"/>
      <c r="H169" s="44">
        <f>(H168-F170)/(1-H143)</f>
        <v>-4470.9692853399256</v>
      </c>
      <c r="I169" s="44">
        <f>(I168-G170)/(1-I143)</f>
        <v>2615.9865230032356</v>
      </c>
      <c r="J169" s="10"/>
      <c r="K169" s="10"/>
      <c r="L169" s="10"/>
      <c r="M169" s="18"/>
      <c r="N169" s="10"/>
    </row>
    <row r="170" spans="1:14" x14ac:dyDescent="0.25">
      <c r="A170" s="10" t="s">
        <v>263</v>
      </c>
      <c r="B170" s="18"/>
      <c r="C170" s="18"/>
      <c r="D170" s="10"/>
      <c r="E170" s="10"/>
      <c r="F170" s="44">
        <f>(H70-(G78*H70)-(G87*H70)-(G93*H70)-H120+H125+H137)*(1-H143)+G153+G154</f>
        <v>24072.516007289716</v>
      </c>
      <c r="G170" s="44">
        <f>(I70-(H78*I70)-(H87*I70)-(H93*I70)-I120+I125+I137)*(1-I143)+H153+H154</f>
        <v>20362.605423280402</v>
      </c>
      <c r="H170" s="32">
        <f>H169/H70</f>
        <v>-4.7777013374815568E-2</v>
      </c>
      <c r="I170" s="32">
        <f>I169/I70</f>
        <v>2.8180009909960231E-2</v>
      </c>
      <c r="J170" s="10"/>
      <c r="K170" s="10"/>
      <c r="L170" s="10"/>
      <c r="M170" s="18"/>
      <c r="N170" s="10"/>
    </row>
    <row r="171" spans="1:14" x14ac:dyDescent="0.25">
      <c r="A171" s="10" t="s">
        <v>264</v>
      </c>
      <c r="B171" s="18"/>
      <c r="C171" s="18"/>
      <c r="D171" s="10"/>
      <c r="E171" s="10"/>
      <c r="F171" s="10"/>
      <c r="G171" s="10"/>
      <c r="H171" s="32">
        <f>(G77/(G77+G86+G92))*H170</f>
        <v>-2.1830221694696634E-2</v>
      </c>
      <c r="I171" s="32">
        <f>(H77/(H77+H86+H92))*I170</f>
        <v>1.2875979895751588E-2</v>
      </c>
      <c r="J171" s="10"/>
      <c r="K171" s="10"/>
      <c r="L171" s="10"/>
      <c r="M171" s="18"/>
      <c r="N171" s="10"/>
    </row>
    <row r="172" spans="1:14" x14ac:dyDescent="0.25">
      <c r="A172" s="10" t="s">
        <v>265</v>
      </c>
      <c r="B172" s="18"/>
      <c r="C172" s="18"/>
      <c r="D172" s="10"/>
      <c r="E172" s="10"/>
      <c r="F172" s="10"/>
      <c r="G172" s="10"/>
      <c r="H172" s="32">
        <f>(G86/(G77+G86+G92))*H170</f>
        <v>-1.6722400460569577E-2</v>
      </c>
      <c r="I172" s="32">
        <f>(H86/(H77+H86+H92))*I170</f>
        <v>9.8632663996861478E-3</v>
      </c>
      <c r="J172" s="10"/>
      <c r="K172" s="10"/>
      <c r="L172" s="10"/>
      <c r="M172" s="18"/>
      <c r="N172" s="10"/>
    </row>
    <row r="173" spans="1:14" x14ac:dyDescent="0.25">
      <c r="A173" s="10" t="s">
        <v>271</v>
      </c>
      <c r="B173" s="18"/>
      <c r="C173" s="18"/>
      <c r="D173" s="10"/>
      <c r="E173" s="10"/>
      <c r="F173" s="10"/>
      <c r="G173" s="10"/>
      <c r="H173" s="32">
        <f>(G92/(G77+G86+G92))*H170</f>
        <v>-9.224391219549358E-3</v>
      </c>
      <c r="I173" s="32">
        <f>(H92/(H77+H86+H92))*I170</f>
        <v>5.4407636145224923E-3</v>
      </c>
      <c r="J173" s="10"/>
      <c r="K173" s="10"/>
      <c r="L173" s="10"/>
      <c r="M173" s="18"/>
      <c r="N173" s="10"/>
    </row>
    <row r="174" spans="1:14" x14ac:dyDescent="0.25">
      <c r="A174" s="10"/>
      <c r="B174" s="18"/>
      <c r="C174" s="18"/>
      <c r="D174" s="10"/>
      <c r="E174" s="10"/>
      <c r="F174" s="10"/>
      <c r="G174" s="10"/>
      <c r="H174" s="10"/>
      <c r="I174" s="10"/>
      <c r="J174" s="10"/>
      <c r="K174" s="10"/>
      <c r="L174" s="10"/>
      <c r="M174" s="18"/>
      <c r="N174" s="10"/>
    </row>
    <row r="175" spans="1:14" x14ac:dyDescent="0.25">
      <c r="A175" s="1" t="s">
        <v>59</v>
      </c>
      <c r="B175" s="13"/>
      <c r="C175" s="13"/>
      <c r="D175" s="146">
        <f>IF(ISERROR(VLOOKUP("Preferred Securities of Subsidiary Trust",Annual!$A$148:$E$213,5,0)),0,VLOOKUP("Preferred Securities of Subsidiary Trust",Annual!$A$148:$E$213,5,0))</f>
        <v>0</v>
      </c>
      <c r="E175" s="146">
        <f>IF(ISERROR(VLOOKUP("Preferred Securities of Subsidiary Trust",Annual!$A$148:$E$213,4,0)),0,VLOOKUP("Preferred Securities of Subsidiary Trust",Annual!$A$148:$E$213,4,0))</f>
        <v>0</v>
      </c>
      <c r="F175" s="146">
        <f>IF(ISERROR(VLOOKUP("Preferred Securities of Subsidiary Trust",Annual!$A$148:$E$213,3,0)),0,VLOOKUP("Preferred Securities of Subsidiary Trust",Annual!$A$148:$E$213,3,0))</f>
        <v>0</v>
      </c>
      <c r="G175" s="146">
        <f>IF(ISERROR(VLOOKUP("Preferred Securities of Subsidiary Trust",Annual!$A$148:$E$213,2,0)),0,VLOOKUP("Preferred Securities of Subsidiary Trust",Annual!$A$148:$E$213,2,0))</f>
        <v>0</v>
      </c>
      <c r="H175" s="92">
        <f>G175</f>
        <v>0</v>
      </c>
      <c r="I175" s="92">
        <f t="shared" ref="I175:L175" si="41">H175</f>
        <v>0</v>
      </c>
      <c r="J175" s="92">
        <f t="shared" si="41"/>
        <v>0</v>
      </c>
      <c r="K175" s="92">
        <f t="shared" si="41"/>
        <v>0</v>
      </c>
      <c r="L175" s="92">
        <f t="shared" si="41"/>
        <v>0</v>
      </c>
      <c r="M175" s="10"/>
      <c r="N175" s="10"/>
    </row>
    <row r="176" spans="1:14" x14ac:dyDescent="0.25">
      <c r="A176" s="1"/>
      <c r="B176" s="13"/>
      <c r="C176" s="13"/>
      <c r="D176" s="92"/>
      <c r="E176" s="92"/>
      <c r="F176" s="92"/>
      <c r="G176" s="92"/>
      <c r="H176" s="13"/>
      <c r="I176" s="13"/>
      <c r="J176" s="13"/>
      <c r="K176" s="13"/>
      <c r="L176" s="13"/>
      <c r="M176" s="10"/>
      <c r="N176" s="10"/>
    </row>
    <row r="177" spans="1:14" x14ac:dyDescent="0.25">
      <c r="A177" s="1" t="s">
        <v>397</v>
      </c>
      <c r="B177" s="13"/>
      <c r="C177" s="13"/>
      <c r="D177" s="92">
        <f>D178</f>
        <v>23150</v>
      </c>
      <c r="E177" s="92">
        <f t="shared" ref="E177:G177" si="42">E178</f>
        <v>16978</v>
      </c>
      <c r="F177" s="92">
        <f t="shared" si="42"/>
        <v>21863</v>
      </c>
      <c r="G177" s="92">
        <f t="shared" si="42"/>
        <v>22074</v>
      </c>
      <c r="H177" s="92">
        <f>H156</f>
        <v>20524.989910791031</v>
      </c>
      <c r="I177" s="92">
        <f>I156</f>
        <v>22438.280711158677</v>
      </c>
      <c r="J177" s="92">
        <f>J156</f>
        <v>24786.360058845206</v>
      </c>
      <c r="K177" s="92">
        <f>K156</f>
        <v>26927.178202323692</v>
      </c>
      <c r="L177" s="92">
        <f>L156</f>
        <v>28816.839582586083</v>
      </c>
      <c r="M177" s="10"/>
      <c r="N177" s="10"/>
    </row>
    <row r="178" spans="1:14" x14ac:dyDescent="0.25">
      <c r="A178" s="1" t="s">
        <v>398</v>
      </c>
      <c r="B178" s="13"/>
      <c r="C178" s="13"/>
      <c r="D178" s="92">
        <f>D156</f>
        <v>23150</v>
      </c>
      <c r="E178" s="92">
        <f t="shared" ref="E178:G178" si="43">E156</f>
        <v>16978</v>
      </c>
      <c r="F178" s="92">
        <f t="shared" si="43"/>
        <v>21863</v>
      </c>
      <c r="G178" s="92">
        <f t="shared" si="43"/>
        <v>22074</v>
      </c>
      <c r="H178" s="92">
        <f>H167</f>
        <v>20524.989910791031</v>
      </c>
      <c r="I178" s="92">
        <f>I167</f>
        <v>22438.280711158677</v>
      </c>
      <c r="J178" s="92">
        <f>J167</f>
        <v>24786.360058845206</v>
      </c>
      <c r="K178" s="92">
        <f>K167</f>
        <v>26927.178202323692</v>
      </c>
      <c r="L178" s="92">
        <f>L167</f>
        <v>28816.839582586083</v>
      </c>
      <c r="M178" s="10"/>
      <c r="N178" s="10"/>
    </row>
    <row r="179" spans="1:14" x14ac:dyDescent="0.25">
      <c r="A179" s="1"/>
      <c r="B179" s="13"/>
      <c r="C179" s="13"/>
      <c r="D179" s="92"/>
      <c r="E179" s="92"/>
      <c r="F179" s="92"/>
      <c r="G179" s="92"/>
      <c r="H179" s="13"/>
      <c r="I179" s="13"/>
      <c r="J179" s="13"/>
      <c r="K179" s="13"/>
      <c r="L179" s="13"/>
      <c r="M179" s="10"/>
      <c r="N179" s="10"/>
    </row>
    <row r="180" spans="1:14" x14ac:dyDescent="0.25">
      <c r="A180" s="169" t="s">
        <v>405</v>
      </c>
      <c r="B180" s="22"/>
      <c r="C180" s="22"/>
      <c r="D180" s="146">
        <f>VLOOKUP(A180,Annual!$A$148:$E$213, 5,0)</f>
        <v>8593</v>
      </c>
      <c r="E180" s="146">
        <f>VLOOKUP(A180,Annual!$A$148:$E$213, 4,0)</f>
        <v>8506</v>
      </c>
      <c r="F180" s="146">
        <f>VLOOKUP(A180,Annual!$A$148:$E$213, 3,0)</f>
        <v>8470</v>
      </c>
      <c r="G180" s="146">
        <f>VLOOKUP(A180,Annual!$A$148:$E$213, 2,0)</f>
        <v>8399</v>
      </c>
      <c r="H180" s="54">
        <f>G180*(1+H181)</f>
        <v>8328.5951593860682</v>
      </c>
      <c r="I180" s="54">
        <f>H180*(1+I181)</f>
        <v>8258.7804892188415</v>
      </c>
      <c r="J180" s="54">
        <f>I180*(1+J181)</f>
        <v>8189.5510423788719</v>
      </c>
      <c r="K180" s="54">
        <f>J180*(1+K181)</f>
        <v>8120.9019132160738</v>
      </c>
      <c r="L180" s="54">
        <f>K180*(1+L181)</f>
        <v>8052.8282372021013</v>
      </c>
      <c r="M180" s="22"/>
      <c r="N180" s="10"/>
    </row>
    <row r="181" spans="1:14" x14ac:dyDescent="0.25">
      <c r="A181" s="10"/>
      <c r="B181" s="18"/>
      <c r="C181" s="16"/>
      <c r="D181" s="16"/>
      <c r="E181" s="16">
        <f>E180/D180-1</f>
        <v>-1.0124519958105482E-2</v>
      </c>
      <c r="F181" s="16">
        <f>F180/E180-1</f>
        <v>-4.2323066071008331E-3</v>
      </c>
      <c r="G181" s="16">
        <f>G180/F180-1</f>
        <v>-8.3825265643447944E-3</v>
      </c>
      <c r="H181" s="135">
        <f>$B$52</f>
        <v>-8.3825265643447944E-3</v>
      </c>
      <c r="I181" s="16">
        <f>H181</f>
        <v>-8.3825265643447944E-3</v>
      </c>
      <c r="J181" s="16">
        <f>I181</f>
        <v>-8.3825265643447944E-3</v>
      </c>
      <c r="K181" s="16">
        <f>J181</f>
        <v>-8.3825265643447944E-3</v>
      </c>
      <c r="L181" s="16">
        <f>K181</f>
        <v>-8.3825265643447944E-3</v>
      </c>
      <c r="M181" s="16">
        <f>AVERAGE(E181:G181)</f>
        <v>-7.5797843765170363E-3</v>
      </c>
      <c r="N181" s="12">
        <f>AVERAGE(H181:L181)</f>
        <v>-8.3825265643447944E-3</v>
      </c>
    </row>
    <row r="182" spans="1:14" x14ac:dyDescent="0.25">
      <c r="A182" s="10" t="s">
        <v>25</v>
      </c>
      <c r="B182" s="18"/>
      <c r="C182" s="18"/>
      <c r="D182" s="18"/>
      <c r="E182" s="18"/>
      <c r="F182" s="18"/>
      <c r="G182" s="150">
        <f>G180</f>
        <v>8399</v>
      </c>
      <c r="H182" s="18"/>
      <c r="I182" s="18"/>
      <c r="J182" s="18"/>
      <c r="K182" s="18"/>
      <c r="L182" s="18"/>
      <c r="M182" s="18"/>
      <c r="N182" s="10"/>
    </row>
    <row r="183" spans="1:14" x14ac:dyDescent="0.25">
      <c r="A183" s="10"/>
      <c r="B183" s="18"/>
      <c r="C183" s="18"/>
      <c r="D183" s="10"/>
      <c r="E183" s="10"/>
      <c r="F183" s="10"/>
      <c r="G183" s="10"/>
      <c r="H183" s="10"/>
      <c r="I183" s="10"/>
      <c r="J183" s="10"/>
      <c r="K183" s="10"/>
      <c r="L183" s="10"/>
      <c r="M183" s="18"/>
      <c r="N183" s="10"/>
    </row>
    <row r="184" spans="1:14" x14ac:dyDescent="0.25">
      <c r="A184" s="10" t="s">
        <v>255</v>
      </c>
      <c r="B184" s="18"/>
      <c r="C184" s="18"/>
      <c r="D184" s="141">
        <f>D185</f>
        <v>2.6940532991970207</v>
      </c>
      <c r="E184" s="141">
        <f>E185</f>
        <v>1.9960028215377381</v>
      </c>
      <c r="F184" s="141">
        <f>F185</f>
        <v>2.581227863046045</v>
      </c>
      <c r="G184" s="141">
        <f>G185</f>
        <v>2.6281700202405047</v>
      </c>
      <c r="H184" s="141">
        <f>H177/H180</f>
        <v>2.4644000000000008</v>
      </c>
      <c r="I184" s="70">
        <f>I177/I180</f>
        <v>2.7169000000000008</v>
      </c>
      <c r="J184" s="70">
        <f>J177/J180</f>
        <v>3.0265835001921366</v>
      </c>
      <c r="K184" s="70">
        <f>K177/K180</f>
        <v>3.3157866564675547</v>
      </c>
      <c r="L184" s="70">
        <f>L177/L180</f>
        <v>3.5784743861118651</v>
      </c>
      <c r="M184" s="18"/>
      <c r="N184" s="10"/>
    </row>
    <row r="185" spans="1:14" x14ac:dyDescent="0.25">
      <c r="A185" s="10" t="s">
        <v>255</v>
      </c>
      <c r="B185" s="25"/>
      <c r="C185" s="25"/>
      <c r="D185" s="168">
        <f t="shared" ref="D185:L185" si="44">D156/D180</f>
        <v>2.6940532991970207</v>
      </c>
      <c r="E185" s="168">
        <f t="shared" si="44"/>
        <v>1.9960028215377381</v>
      </c>
      <c r="F185" s="168">
        <f t="shared" si="44"/>
        <v>2.581227863046045</v>
      </c>
      <c r="G185" s="168">
        <f t="shared" si="44"/>
        <v>2.6281700202405047</v>
      </c>
      <c r="H185" s="42">
        <f t="shared" si="44"/>
        <v>2.4644000000000008</v>
      </c>
      <c r="I185" s="42">
        <f t="shared" si="44"/>
        <v>2.7169000000000008</v>
      </c>
      <c r="J185" s="42">
        <f t="shared" si="44"/>
        <v>3.0265835001921366</v>
      </c>
      <c r="K185" s="42">
        <f t="shared" si="44"/>
        <v>3.3157866564675547</v>
      </c>
      <c r="L185" s="42">
        <f t="shared" si="44"/>
        <v>3.5784743861118651</v>
      </c>
      <c r="M185" s="25"/>
      <c r="N185" s="10"/>
    </row>
    <row r="186" spans="1:14" x14ac:dyDescent="0.25">
      <c r="A186" s="10" t="s">
        <v>266</v>
      </c>
      <c r="B186" s="25"/>
      <c r="C186" s="25"/>
      <c r="D186" s="168"/>
      <c r="E186" s="168"/>
      <c r="F186" s="168"/>
      <c r="G186" s="168"/>
      <c r="H186" s="42">
        <f>H63</f>
        <v>2.44</v>
      </c>
      <c r="I186" s="42">
        <f>I63</f>
        <v>2.69</v>
      </c>
      <c r="J186" s="42"/>
      <c r="K186" s="42"/>
      <c r="L186" s="42"/>
      <c r="M186" s="25"/>
      <c r="N186" s="10"/>
    </row>
    <row r="187" spans="1:14" x14ac:dyDescent="0.25">
      <c r="A187" s="10" t="s">
        <v>26</v>
      </c>
      <c r="B187" s="18"/>
      <c r="C187" s="59"/>
      <c r="D187" s="59"/>
      <c r="E187" s="59">
        <f>IF(ISERROR(E185/D185-1), "na", E185/D185-1)</f>
        <v>-0.2591078943639834</v>
      </c>
      <c r="F187" s="59">
        <f t="shared" ref="F187:L187" si="45">F185/E185-1</f>
        <v>0.29319850412708548</v>
      </c>
      <c r="G187" s="59">
        <f t="shared" si="45"/>
        <v>1.8185979574489863E-2</v>
      </c>
      <c r="H187" s="16">
        <f t="shared" si="45"/>
        <v>-6.2313327897073112E-2</v>
      </c>
      <c r="I187" s="16">
        <f t="shared" si="45"/>
        <v>0.10245901639344246</v>
      </c>
      <c r="J187" s="16">
        <f t="shared" si="45"/>
        <v>0.11398413640256755</v>
      </c>
      <c r="K187" s="16">
        <f t="shared" si="45"/>
        <v>9.5554329248493719E-2</v>
      </c>
      <c r="L187" s="16">
        <f t="shared" si="45"/>
        <v>7.9223350854594088E-2</v>
      </c>
      <c r="M187" s="16"/>
      <c r="N187" s="12">
        <f>AVERAGE(H187:L187)</f>
        <v>6.5781501000404946E-2</v>
      </c>
    </row>
    <row r="188" spans="1:14" x14ac:dyDescent="0.25">
      <c r="A188" s="10"/>
      <c r="B188" s="18"/>
      <c r="C188" s="59"/>
      <c r="D188" s="59"/>
      <c r="E188" s="59"/>
      <c r="F188" s="59"/>
      <c r="G188" s="59"/>
      <c r="H188" s="16"/>
      <c r="I188" s="16"/>
      <c r="J188" s="16"/>
      <c r="K188" s="16"/>
      <c r="L188" s="16"/>
      <c r="M188" s="16"/>
      <c r="N188" s="12"/>
    </row>
    <row r="189" spans="1:14" x14ac:dyDescent="0.25">
      <c r="A189" s="10" t="s">
        <v>256</v>
      </c>
      <c r="B189" s="18"/>
      <c r="C189" s="59"/>
      <c r="D189" s="42">
        <f>D178/D180</f>
        <v>2.6940532991970207</v>
      </c>
      <c r="E189" s="42">
        <f t="shared" ref="E189:G189" si="46">E178/E180</f>
        <v>1.9960028215377381</v>
      </c>
      <c r="F189" s="42">
        <f t="shared" si="46"/>
        <v>2.581227863046045</v>
      </c>
      <c r="G189" s="42">
        <f t="shared" si="46"/>
        <v>2.6281700202405047</v>
      </c>
      <c r="H189" s="16"/>
      <c r="I189" s="16"/>
      <c r="J189" s="16"/>
      <c r="K189" s="16"/>
      <c r="L189" s="16"/>
      <c r="M189" s="16"/>
      <c r="N189" s="12"/>
    </row>
    <row r="190" spans="1:14" x14ac:dyDescent="0.25">
      <c r="A190" s="10" t="s">
        <v>256</v>
      </c>
      <c r="B190" s="18"/>
      <c r="C190" s="59"/>
      <c r="D190" s="42">
        <f>Annual!E207</f>
        <v>0</v>
      </c>
      <c r="E190" s="42">
        <f>Annual!D207</f>
        <v>0</v>
      </c>
      <c r="F190" s="42">
        <f>Annual!C207</f>
        <v>0</v>
      </c>
      <c r="G190" s="42">
        <f>Annual!B207</f>
        <v>0</v>
      </c>
      <c r="H190" s="16"/>
      <c r="I190" s="16"/>
      <c r="J190" s="16"/>
      <c r="K190" s="16"/>
      <c r="L190" s="16"/>
      <c r="M190" s="16"/>
      <c r="N190" s="12"/>
    </row>
    <row r="191" spans="1:14" x14ac:dyDescent="0.25">
      <c r="A191" s="10"/>
      <c r="B191" s="18"/>
      <c r="C191" s="59"/>
      <c r="D191" s="59"/>
      <c r="E191" s="59"/>
      <c r="F191" s="59"/>
      <c r="G191" s="59"/>
      <c r="H191" s="16"/>
      <c r="I191" s="16"/>
      <c r="J191" s="16"/>
      <c r="K191" s="16"/>
      <c r="L191" s="16"/>
      <c r="M191" s="16"/>
      <c r="N191" s="12"/>
    </row>
    <row r="192" spans="1:14" ht="18" x14ac:dyDescent="0.35">
      <c r="A192" s="180" t="s">
        <v>421</v>
      </c>
      <c r="B192" s="181"/>
      <c r="C192" s="181"/>
      <c r="D192" s="182">
        <f>VLOOKUP(A192,Annual!$A$148:$E$213, 5,0)</f>
        <v>0.89</v>
      </c>
      <c r="E192" s="182">
        <f>VLOOKUP(A192,Annual!$A$148:$E$213, 4,0)</f>
        <v>0.89</v>
      </c>
      <c r="F192" s="182">
        <f>VLOOKUP(A192,Annual!$A$148:$E$213, 3,0)</f>
        <v>1.07</v>
      </c>
      <c r="G192" s="182">
        <f>VLOOKUP(A192,Annual!$A$148:$E$213, 2,0)</f>
        <v>1.07</v>
      </c>
      <c r="H192" s="184">
        <v>1.44</v>
      </c>
      <c r="I192" s="183">
        <v>1.6559999999999999</v>
      </c>
      <c r="J192" s="183">
        <v>1.9043999999999996</v>
      </c>
      <c r="K192" s="183">
        <v>2.1329279999999997</v>
      </c>
      <c r="L192" s="183">
        <v>2.3888793599999998</v>
      </c>
      <c r="M192" s="10"/>
      <c r="N192" s="10"/>
    </row>
    <row r="193" spans="1:14" x14ac:dyDescent="0.25">
      <c r="A193" s="1"/>
      <c r="B193" s="13"/>
      <c r="C193" s="13"/>
      <c r="D193" s="1"/>
      <c r="E193" s="1"/>
      <c r="F193" s="1"/>
      <c r="G193" s="1"/>
      <c r="H193" s="1"/>
      <c r="I193" s="1"/>
      <c r="J193" s="1"/>
      <c r="K193" s="1"/>
      <c r="L193" s="1"/>
      <c r="M193" s="18"/>
      <c r="N193" s="10"/>
    </row>
    <row r="194" spans="1:14" s="96" customFormat="1" ht="20.100000000000001" customHeight="1" x14ac:dyDescent="0.4">
      <c r="A194" s="93" t="s">
        <v>194</v>
      </c>
      <c r="B194" s="94"/>
      <c r="C194" s="94"/>
      <c r="D194" s="94"/>
      <c r="E194" s="94"/>
      <c r="F194" s="94"/>
      <c r="G194" s="94"/>
      <c r="H194" s="95"/>
      <c r="I194" s="94"/>
      <c r="J194" s="94"/>
      <c r="K194" s="94"/>
      <c r="L194" s="94"/>
      <c r="M194" s="94"/>
      <c r="N194" s="94"/>
    </row>
    <row r="195" spans="1:14" x14ac:dyDescent="0.25">
      <c r="A195" s="1" t="str">
        <f>A68</f>
        <v>In Millions of USD (except for per share items)</v>
      </c>
      <c r="B195" s="1"/>
      <c r="C195" s="1"/>
      <c r="D195" s="166">
        <f>E195-1</f>
        <v>42181</v>
      </c>
      <c r="E195" s="166">
        <f>F195-1</f>
        <v>42182</v>
      </c>
      <c r="F195" s="166">
        <f>G195-1</f>
        <v>42183</v>
      </c>
      <c r="G195" s="166">
        <f>H196-1</f>
        <v>42184</v>
      </c>
      <c r="H195" s="2" t="s">
        <v>4</v>
      </c>
      <c r="I195" s="2" t="s">
        <v>5</v>
      </c>
      <c r="J195" s="2" t="s">
        <v>6</v>
      </c>
      <c r="K195" s="2" t="s">
        <v>7</v>
      </c>
      <c r="L195" s="2" t="s">
        <v>8</v>
      </c>
      <c r="M195" s="2" t="s">
        <v>35</v>
      </c>
      <c r="N195" s="2" t="s">
        <v>9</v>
      </c>
    </row>
    <row r="196" spans="1:14" x14ac:dyDescent="0.25">
      <c r="A196" s="3" t="s">
        <v>3</v>
      </c>
      <c r="B196" s="36"/>
      <c r="C196" s="13"/>
      <c r="D196" s="145">
        <f t="shared" ref="D196:L196" si="47">D69</f>
        <v>40724</v>
      </c>
      <c r="E196" s="145">
        <f t="shared" si="47"/>
        <v>41090</v>
      </c>
      <c r="F196" s="145">
        <f t="shared" si="47"/>
        <v>41455</v>
      </c>
      <c r="G196" s="145">
        <f t="shared" si="47"/>
        <v>41820</v>
      </c>
      <c r="H196" s="145">
        <f t="shared" si="47"/>
        <v>42185</v>
      </c>
      <c r="I196" s="145">
        <f t="shared" si="47"/>
        <v>42550</v>
      </c>
      <c r="J196" s="145">
        <f t="shared" si="47"/>
        <v>42915</v>
      </c>
      <c r="K196" s="145">
        <f t="shared" si="47"/>
        <v>43280</v>
      </c>
      <c r="L196" s="145">
        <f t="shared" si="47"/>
        <v>43645</v>
      </c>
      <c r="M196" s="30"/>
      <c r="N196" s="10"/>
    </row>
    <row r="197" spans="1:14" x14ac:dyDescent="0.25">
      <c r="A197" s="169" t="s">
        <v>429</v>
      </c>
      <c r="B197" s="22"/>
      <c r="C197" s="22"/>
      <c r="D197" s="146">
        <f>-VLOOKUP(A197,Annual!$A$346:$E$398, 5,0)</f>
        <v>2355</v>
      </c>
      <c r="E197" s="146">
        <f>-VLOOKUP(A197,Annual!$A$346:$E$398, 4,0)</f>
        <v>2305</v>
      </c>
      <c r="F197" s="146">
        <f>-VLOOKUP(A197,Annual!$A$346:$E$398, 3,0)</f>
        <v>4257</v>
      </c>
      <c r="G197" s="146">
        <f>-VLOOKUP(A197,Annual!$A$346:$E$398, 2,0)</f>
        <v>5485</v>
      </c>
      <c r="H197" s="54">
        <f>G197*(1+H198)</f>
        <v>5943.5459999999994</v>
      </c>
      <c r="I197" s="54">
        <f>H197*(1+I198)</f>
        <v>6211.0055699999994</v>
      </c>
      <c r="J197" s="54">
        <f>J95*J100</f>
        <v>6429.8730665258672</v>
      </c>
      <c r="K197" s="54">
        <f>K95*K100</f>
        <v>6542.6333109223788</v>
      </c>
      <c r="L197" s="54">
        <f>L95*L100</f>
        <v>6553.8205581263674</v>
      </c>
      <c r="M197" s="22" t="str">
        <f>IF(G197&gt;E197, "expanded", "fell")</f>
        <v>expanded</v>
      </c>
      <c r="N197" s="10">
        <f>ABS((G197-E197)/E197)</f>
        <v>1.3796095444685466</v>
      </c>
    </row>
    <row r="198" spans="1:14" x14ac:dyDescent="0.25">
      <c r="A198" s="10" t="s">
        <v>15</v>
      </c>
      <c r="B198" s="16"/>
      <c r="C198" s="16"/>
      <c r="D198" s="16"/>
      <c r="E198" s="16">
        <f>E197/D197-1</f>
        <v>-2.1231422505307851E-2</v>
      </c>
      <c r="F198" s="16">
        <f>F197/E197-1</f>
        <v>0.84685466377440344</v>
      </c>
      <c r="G198" s="16">
        <f>G197/F197-1</f>
        <v>0.28846605590791641</v>
      </c>
      <c r="H198" s="135">
        <v>8.3599999999999994E-2</v>
      </c>
      <c r="I198" s="135">
        <v>4.4999999999999998E-2</v>
      </c>
      <c r="J198" s="16">
        <f>J197/I197-1</f>
        <v>3.5238657260754591E-2</v>
      </c>
      <c r="K198" s="16">
        <f>K197/J197-1</f>
        <v>1.7536931636107367E-2</v>
      </c>
      <c r="L198" s="16">
        <f>L197/K197-1</f>
        <v>1.7098997715969677E-3</v>
      </c>
      <c r="M198" s="16">
        <f>AVERAGE(E198:G198)</f>
        <v>0.371363099059004</v>
      </c>
      <c r="N198" s="12">
        <f>AVERAGE(H198:L198)</f>
        <v>3.6617097733691782E-2</v>
      </c>
    </row>
    <row r="199" spans="1:14" x14ac:dyDescent="0.25">
      <c r="A199" s="10" t="s">
        <v>16</v>
      </c>
      <c r="B199" s="18"/>
      <c r="C199" s="16"/>
      <c r="D199" s="16">
        <f t="shared" ref="D199:L199" si="48">D197/D70</f>
        <v>3.3670274366269674E-2</v>
      </c>
      <c r="E199" s="16">
        <f t="shared" si="48"/>
        <v>3.1265683707933749E-2</v>
      </c>
      <c r="F199" s="16">
        <f t="shared" si="48"/>
        <v>5.4682783336972858E-2</v>
      </c>
      <c r="G199" s="16">
        <f t="shared" si="48"/>
        <v>6.3167229048863904E-2</v>
      </c>
      <c r="H199" s="16">
        <f t="shared" si="48"/>
        <v>6.3513045743109328E-2</v>
      </c>
      <c r="I199" s="16">
        <f t="shared" si="48"/>
        <v>6.6906383872529493E-2</v>
      </c>
      <c r="J199" s="16">
        <f t="shared" si="48"/>
        <v>6.4612010263404879E-2</v>
      </c>
      <c r="K199" s="16">
        <f t="shared" si="48"/>
        <v>6.2317636654280265E-2</v>
      </c>
      <c r="L199" s="16">
        <f t="shared" si="48"/>
        <v>6.0023263045155643E-2</v>
      </c>
      <c r="M199" s="16">
        <f>AVERAGE(E199:G199)</f>
        <v>4.9705232031256839E-2</v>
      </c>
      <c r="N199" s="12">
        <f>AVERAGE(H199:L199)</f>
        <v>6.3474467915695915E-2</v>
      </c>
    </row>
    <row r="200" spans="1:14" x14ac:dyDescent="0.25">
      <c r="A200" s="10"/>
      <c r="B200" s="18"/>
      <c r="C200" s="16"/>
      <c r="D200" s="16"/>
      <c r="E200" s="16"/>
      <c r="F200" s="16"/>
      <c r="G200" s="16"/>
      <c r="H200" s="16"/>
      <c r="I200" s="16"/>
      <c r="J200" s="16"/>
      <c r="K200" s="16"/>
      <c r="L200" s="16"/>
      <c r="M200" s="16"/>
      <c r="N200" s="12"/>
    </row>
    <row r="201" spans="1:14" x14ac:dyDescent="0.25">
      <c r="A201" s="169" t="s">
        <v>331</v>
      </c>
      <c r="B201" s="18"/>
      <c r="C201" s="18"/>
      <c r="D201" s="146">
        <f>IF(ISERROR(VLOOKUP(A201,Annual!$A$246:$E$324, 5,0)), 0, VLOOKUP(A201,Annual!$A$246:$E$324, 5,0))</f>
        <v>1372</v>
      </c>
      <c r="E201" s="146">
        <f>IF(ISERROR(VLOOKUP(A201,Annual!$A$246:$E$324, 4,0)), 0, VLOOKUP(A201,Annual!$A$246:$E$324, 4,0))</f>
        <v>1137</v>
      </c>
      <c r="F201" s="146">
        <f>IF(ISERROR(VLOOKUP(A201,Annual!$A$246:$E$324, 3,0)), 0, VLOOKUP(A201,Annual!$A$246:$E$324, 3,0))</f>
        <v>1938</v>
      </c>
      <c r="G201" s="146">
        <f>IF(ISERROR(VLOOKUP(A201,Annual!$A$246:$E$324, 2,0)), 0, VLOOKUP(A201,Annual!$A$246:$E$324, 2,0))</f>
        <v>2660</v>
      </c>
      <c r="H201" s="54">
        <f>H413</f>
        <v>3031.437594246715</v>
      </c>
      <c r="I201" s="54">
        <f t="shared" ref="I201:L201" si="49">I413</f>
        <v>2855.2835377393212</v>
      </c>
      <c r="J201" s="54">
        <f t="shared" si="49"/>
        <v>2978.4106660003495</v>
      </c>
      <c r="K201" s="54">
        <f t="shared" si="49"/>
        <v>3056.4132278934071</v>
      </c>
      <c r="L201" s="54">
        <f t="shared" si="49"/>
        <v>3090.6526514560105</v>
      </c>
      <c r="M201" s="18"/>
      <c r="N201" s="10"/>
    </row>
    <row r="202" spans="1:14" x14ac:dyDescent="0.25">
      <c r="A202" s="169" t="s">
        <v>327</v>
      </c>
      <c r="B202" s="18"/>
      <c r="C202" s="18"/>
      <c r="D202" s="146">
        <f>VLOOKUP(A202,Annual!$A$246:$E$324, 5,0)</f>
        <v>14987</v>
      </c>
      <c r="E202" s="146">
        <f>VLOOKUP(A202,Annual!$A$246:$E$324, 4,0)</f>
        <v>15780</v>
      </c>
      <c r="F202" s="146">
        <f>VLOOKUP(A202,Annual!$A$246:$E$324, 3,0)</f>
        <v>17486</v>
      </c>
      <c r="G202" s="146">
        <f>VLOOKUP(A202,Annual!$A$246:$E$324, 2,0)</f>
        <v>19544</v>
      </c>
      <c r="H202" s="54">
        <f t="shared" ref="H202:L202" si="50">H414</f>
        <v>21010.412267145817</v>
      </c>
      <c r="I202" s="54">
        <f t="shared" si="50"/>
        <v>20790.589688417302</v>
      </c>
      <c r="J202" s="54">
        <f t="shared" si="50"/>
        <v>22232.047637189418</v>
      </c>
      <c r="K202" s="54">
        <f t="shared" si="50"/>
        <v>23396.295200457247</v>
      </c>
      <c r="L202" s="54">
        <f t="shared" si="50"/>
        <v>24271.291349426836</v>
      </c>
      <c r="M202" s="18"/>
      <c r="N202" s="10"/>
    </row>
    <row r="203" spans="1:14" x14ac:dyDescent="0.25">
      <c r="A203" s="169" t="s">
        <v>332</v>
      </c>
      <c r="B203" s="18"/>
      <c r="C203" s="18"/>
      <c r="D203" s="146">
        <f>IF(ISERROR(VLOOKUP(A203,Annual!$A$246:$E$324, 5,0)), 0, VLOOKUP(A203,Annual!$A$246:$E$324, 5,0))</f>
        <v>2467</v>
      </c>
      <c r="E203" s="146">
        <f>IF(ISERROR(VLOOKUP(A203,Annual!$A$246:$E$324, 4,0)), 0, VLOOKUP(A203,Annual!$A$246:$E$324, 4,0))</f>
        <v>2035</v>
      </c>
      <c r="F203" s="146">
        <f>IF(ISERROR(VLOOKUP(A203,Annual!$A$246:$E$324, 3,0)), 0, VLOOKUP(A203,Annual!$A$246:$E$324, 3,0))</f>
        <v>1632</v>
      </c>
      <c r="G203" s="146">
        <f>IF(ISERROR(VLOOKUP(A203,Annual!$A$246:$E$324, 2,0)), 0, VLOOKUP(A203,Annual!$A$246:$E$324, 2,0))</f>
        <v>1941</v>
      </c>
      <c r="H203" s="54">
        <f>G203</f>
        <v>1941</v>
      </c>
      <c r="I203" s="54">
        <f t="shared" ref="I203:L203" si="51">H203</f>
        <v>1941</v>
      </c>
      <c r="J203" s="54">
        <f t="shared" si="51"/>
        <v>1941</v>
      </c>
      <c r="K203" s="54">
        <f t="shared" si="51"/>
        <v>1941</v>
      </c>
      <c r="L203" s="54">
        <f t="shared" si="51"/>
        <v>1941</v>
      </c>
      <c r="M203" s="18"/>
      <c r="N203" s="10"/>
    </row>
    <row r="204" spans="1:14" x14ac:dyDescent="0.25">
      <c r="A204" s="169" t="s">
        <v>413</v>
      </c>
      <c r="B204" s="18"/>
      <c r="C204" s="18"/>
      <c r="D204" s="157">
        <f>SUM(D209:D210)</f>
        <v>3320</v>
      </c>
      <c r="E204" s="157">
        <f t="shared" ref="E204:G204" si="52">SUM(E209:E210)</f>
        <v>3092</v>
      </c>
      <c r="F204" s="157">
        <f t="shared" si="52"/>
        <v>3388</v>
      </c>
      <c r="G204" s="157">
        <f t="shared" si="52"/>
        <v>4392</v>
      </c>
      <c r="H204" s="54">
        <f>G204</f>
        <v>4392</v>
      </c>
      <c r="I204" s="54">
        <f t="shared" ref="I204:L204" si="53">H204</f>
        <v>4392</v>
      </c>
      <c r="J204" s="54">
        <f t="shared" si="53"/>
        <v>4392</v>
      </c>
      <c r="K204" s="54">
        <f t="shared" si="53"/>
        <v>4392</v>
      </c>
      <c r="L204" s="54">
        <f t="shared" si="53"/>
        <v>4392</v>
      </c>
      <c r="M204" s="18"/>
      <c r="N204" s="10"/>
    </row>
    <row r="205" spans="1:14" x14ac:dyDescent="0.25">
      <c r="A205" s="169" t="s">
        <v>14</v>
      </c>
      <c r="B205" s="18"/>
      <c r="C205" s="18"/>
      <c r="D205" s="146">
        <f>VLOOKUP(A205,Annual!$A$246:$E$324, 5,0)</f>
        <v>5405</v>
      </c>
      <c r="E205" s="146">
        <f>VLOOKUP(A205,Annual!$A$246:$E$324, 4,0)</f>
        <v>4989</v>
      </c>
      <c r="F205" s="146">
        <f>VLOOKUP(A205,Annual!$A$246:$E$324, 3,0)</f>
        <v>5473</v>
      </c>
      <c r="G205" s="146">
        <f>VLOOKUP(A205,Annual!$A$246:$E$324, 2,0)</f>
        <v>7990</v>
      </c>
      <c r="H205" s="54">
        <f>H424</f>
        <v>9336.3959932757771</v>
      </c>
      <c r="I205" s="54">
        <f>I424</f>
        <v>8753.8118830366056</v>
      </c>
      <c r="J205" s="54">
        <f>J424</f>
        <v>9346.7921301258102</v>
      </c>
      <c r="K205" s="54">
        <f>K424</f>
        <v>9707.9379998344721</v>
      </c>
      <c r="L205" s="54">
        <f>L424</f>
        <v>9938.9856111628305</v>
      </c>
      <c r="M205" s="18"/>
      <c r="N205" s="10"/>
    </row>
    <row r="206" spans="1:14" x14ac:dyDescent="0.25">
      <c r="A206" s="169" t="s">
        <v>414</v>
      </c>
      <c r="B206" s="18"/>
      <c r="C206" s="18"/>
      <c r="D206" s="157">
        <f>SUM(D212:D213)</f>
        <v>3575</v>
      </c>
      <c r="E206" s="157">
        <f t="shared" ref="E206:G206" si="54">SUM(E212:E213)</f>
        <v>3875</v>
      </c>
      <c r="F206" s="157">
        <f t="shared" si="54"/>
        <v>4117</v>
      </c>
      <c r="G206" s="157">
        <f t="shared" si="54"/>
        <v>4797</v>
      </c>
      <c r="H206" s="54">
        <f>H203-H235</f>
        <v>4329.9386235633592</v>
      </c>
      <c r="I206" s="54">
        <f t="shared" ref="I206:L206" si="55">I203-I235</f>
        <v>4539.6875651260798</v>
      </c>
      <c r="J206" s="54">
        <f t="shared" si="55"/>
        <v>4545.3507004689054</v>
      </c>
      <c r="K206" s="54">
        <f t="shared" si="55"/>
        <v>4611.9287893006476</v>
      </c>
      <c r="L206" s="54">
        <f t="shared" si="55"/>
        <v>4638.4887166829922</v>
      </c>
      <c r="M206" s="18"/>
      <c r="N206" s="10"/>
    </row>
    <row r="207" spans="1:14" x14ac:dyDescent="0.25">
      <c r="A207" s="169" t="s">
        <v>415</v>
      </c>
      <c r="B207" s="18"/>
      <c r="C207" s="18"/>
      <c r="D207" s="157">
        <f>SUM(D215:D217)</f>
        <v>19794</v>
      </c>
      <c r="E207" s="157">
        <f t="shared" ref="E207:G207" si="56">SUM(E215:E217)</f>
        <v>22593</v>
      </c>
      <c r="F207" s="157">
        <f t="shared" si="56"/>
        <v>24828</v>
      </c>
      <c r="G207" s="157">
        <f t="shared" si="56"/>
        <v>30838</v>
      </c>
      <c r="H207" s="54">
        <f>G207</f>
        <v>30838</v>
      </c>
      <c r="I207" s="54">
        <f t="shared" ref="I207:L207" si="57">H207</f>
        <v>30838</v>
      </c>
      <c r="J207" s="54">
        <f t="shared" si="57"/>
        <v>30838</v>
      </c>
      <c r="K207" s="54">
        <f t="shared" si="57"/>
        <v>30838</v>
      </c>
      <c r="L207" s="54">
        <f t="shared" si="57"/>
        <v>30838</v>
      </c>
      <c r="M207" s="18"/>
      <c r="N207" s="10"/>
    </row>
    <row r="208" spans="1:14" x14ac:dyDescent="0.25">
      <c r="A208" s="10"/>
      <c r="B208" s="18"/>
      <c r="C208" s="18"/>
      <c r="D208" s="54"/>
      <c r="E208" s="54"/>
      <c r="F208" s="54"/>
      <c r="G208" s="54"/>
      <c r="H208" s="18"/>
      <c r="I208" s="18"/>
      <c r="J208" s="18"/>
      <c r="K208" s="18"/>
      <c r="L208" s="18"/>
      <c r="M208" s="18"/>
      <c r="N208" s="10"/>
    </row>
    <row r="209" spans="1:20" x14ac:dyDescent="0.25">
      <c r="A209" s="10" t="s">
        <v>90</v>
      </c>
      <c r="B209" s="18"/>
      <c r="C209" s="18"/>
      <c r="D209" s="54">
        <f>IF(ISERROR(VLOOKUP("Prepaid Expenses",Annual!$A$246:$E$324,5,0)),0,VLOOKUP("Prepaid Expenses",Annual!$A$246:$E$324,5,0))</f>
        <v>0</v>
      </c>
      <c r="E209" s="54">
        <f>IF(ISERROR(VLOOKUP("Prepaid Expenses",Annual!$A$246:$E$324,4,0)),0,VLOOKUP("Prepaid Expenses",Annual!$A$246:$E$324,4,0))</f>
        <v>0</v>
      </c>
      <c r="F209" s="54">
        <f>IF(ISERROR(VLOOKUP("Prepaid Expenses",Annual!$A$246:$E$324,3,0)),0,VLOOKUP("Prepaid Expenses",Annual!$A$246:$E$324,3,0))</f>
        <v>0</v>
      </c>
      <c r="G209" s="54">
        <f>IF(ISERROR(VLOOKUP("Prepaid Expenses",Annual!$A$246:$E$324,2,0)),0,VLOOKUP("Prepaid Expenses",Annual!$A$246:$E$324,2,0))</f>
        <v>0</v>
      </c>
      <c r="H209" s="18"/>
      <c r="I209" s="18"/>
      <c r="J209" s="18"/>
      <c r="K209" s="18"/>
      <c r="L209" s="18"/>
      <c r="M209" s="18"/>
      <c r="N209" s="10"/>
    </row>
    <row r="210" spans="1:20" x14ac:dyDescent="0.25">
      <c r="A210" s="10" t="s">
        <v>119</v>
      </c>
      <c r="B210" s="18"/>
      <c r="C210" s="18"/>
      <c r="D210" s="54">
        <f>IF(ISERROR(VLOOKUP("Other Current Assets",Annual!$A$246:$E$324,5,0)),0,VLOOKUP("Other Current Assets",Annual!$A$246:$E$324,5,0))</f>
        <v>3320</v>
      </c>
      <c r="E210" s="54">
        <f>IF(ISERROR(VLOOKUP("Other Current Assets",Annual!$A$246:$E$324,4,0)),0,VLOOKUP("Other Current Assets",Annual!$A$246:$E$324,4,0))</f>
        <v>3092</v>
      </c>
      <c r="F210" s="54">
        <f>IF(ISERROR(VLOOKUP("Other Current Assets",Annual!$A$246:$E$324,3,0)),0,VLOOKUP("Other Current Assets",Annual!$A$246:$E$324,3,0))</f>
        <v>3388</v>
      </c>
      <c r="G210" s="54">
        <f>IF(ISERROR(VLOOKUP("Other Current Assets",Annual!$A$246:$E$324,2,0)),0,VLOOKUP("Other Current Assets",Annual!$A$246:$E$324,2,0))</f>
        <v>4392</v>
      </c>
      <c r="H210" s="18"/>
      <c r="I210" s="18"/>
      <c r="J210" s="18"/>
      <c r="K210" s="18"/>
      <c r="L210" s="18"/>
      <c r="M210" s="18"/>
      <c r="N210" s="10"/>
    </row>
    <row r="211" spans="1:20" x14ac:dyDescent="0.25">
      <c r="A211" s="10"/>
      <c r="B211" s="18"/>
      <c r="C211" s="18"/>
      <c r="D211" s="54"/>
      <c r="E211" s="54"/>
      <c r="F211" s="54"/>
      <c r="G211" s="54"/>
      <c r="H211" s="18"/>
      <c r="I211" s="18"/>
      <c r="J211" s="18"/>
      <c r="K211" s="18"/>
      <c r="L211" s="18"/>
      <c r="M211" s="18"/>
      <c r="N211" s="10"/>
    </row>
    <row r="212" spans="1:20" x14ac:dyDescent="0.25">
      <c r="A212" s="10" t="s">
        <v>94</v>
      </c>
      <c r="B212" s="18"/>
      <c r="C212" s="18"/>
      <c r="D212" s="54">
        <f>IF(ISERROR(VLOOKUP("Accrued Expenses",Annual!$A$246:$E$324,5,0)),0,VLOOKUP("Accrued Expenses",Annual!$A$246:$E$324,5,0))</f>
        <v>0</v>
      </c>
      <c r="E212" s="54">
        <f>IF(ISERROR(VLOOKUP("Accrued Expenses",Annual!$A$246:$E$324,4,0)),0,VLOOKUP("Accrued Expenses",Annual!$A$246:$E$324,4,0))</f>
        <v>0</v>
      </c>
      <c r="F212" s="54">
        <f>IF(ISERROR(VLOOKUP("Accrued Expenses",Annual!$A$246:$E$324,3,0)),0,VLOOKUP("Accrued Expenses",Annual!$A$246:$E$324,3,0))</f>
        <v>0</v>
      </c>
      <c r="G212" s="54">
        <f>IF(ISERROR(VLOOKUP("Accrued Expenses",Annual!$A$246:$E$324,2,0)),0,VLOOKUP("Accrued Expenses",Annual!$A$246:$E$324,2,0))</f>
        <v>0</v>
      </c>
      <c r="H212" s="18"/>
      <c r="I212" s="18"/>
      <c r="J212" s="18"/>
      <c r="K212" s="18"/>
      <c r="L212" s="18"/>
      <c r="M212" s="18"/>
      <c r="N212" s="10"/>
    </row>
    <row r="213" spans="1:20" x14ac:dyDescent="0.25">
      <c r="A213" s="10" t="s">
        <v>346</v>
      </c>
      <c r="B213" s="18"/>
      <c r="C213" s="18"/>
      <c r="D213" s="54">
        <f>IF(ISERROR(VLOOKUP("Accrued Liabilities",Annual!$A$246:$E$324,5,0)),0,VLOOKUP("Accrued Liabilities",Annual!$A$246:$E$324,5,0))</f>
        <v>3575</v>
      </c>
      <c r="E213" s="54">
        <f>IF(ISERROR(VLOOKUP("Accrued Liabilities",Annual!$A$246:$E$324,4,0)),0,VLOOKUP("Accrued Liabilities",Annual!$A$246:$E$324,4,0))</f>
        <v>3875</v>
      </c>
      <c r="F213" s="54">
        <f>IF(ISERROR(VLOOKUP("Accrued Liabilities",Annual!$A$246:$E$324,3,0)),0,VLOOKUP("Accrued Liabilities",Annual!$A$246:$E$324,3,0))</f>
        <v>4117</v>
      </c>
      <c r="G213" s="54">
        <f>IF(ISERROR(VLOOKUP("Accrued Liabilities",Annual!$A$246:$E$324,2,0)),0,VLOOKUP("Accrued Liabilities",Annual!$A$246:$E$324,2,0))</f>
        <v>4797</v>
      </c>
      <c r="H213" s="18"/>
      <c r="I213" s="18"/>
      <c r="J213" s="18"/>
      <c r="K213" s="18"/>
      <c r="L213" s="18"/>
      <c r="M213" s="18"/>
      <c r="N213" s="10"/>
    </row>
    <row r="214" spans="1:20" x14ac:dyDescent="0.25">
      <c r="A214" s="10"/>
      <c r="B214" s="18"/>
      <c r="C214" s="18"/>
      <c r="D214" s="54"/>
      <c r="E214" s="54"/>
      <c r="F214" s="54"/>
      <c r="G214" s="54"/>
      <c r="H214" s="18"/>
      <c r="I214" s="18"/>
      <c r="J214" s="18"/>
      <c r="K214" s="18"/>
      <c r="L214" s="18"/>
      <c r="M214" s="18"/>
      <c r="N214" s="10"/>
    </row>
    <row r="215" spans="1:20" x14ac:dyDescent="0.25">
      <c r="A215" s="10" t="s">
        <v>120</v>
      </c>
      <c r="B215" s="18"/>
      <c r="C215" s="18"/>
      <c r="D215" s="54">
        <f>IF(ISERROR(VLOOKUP("Other Current Liabilities",Annual!$A$246:$E$324, 5,0)), 0, VLOOKUP("Other Current Liabilities",Annual!$A$246:$E$324, 5,0))</f>
        <v>4072</v>
      </c>
      <c r="E215" s="54">
        <f>IF(ISERROR(VLOOKUP("Other Current Liabilities",Annual!$A$246:$E$324, 4,0)), 0, VLOOKUP("Other Current Liabilities",Annual!$A$246:$E$324, 4,0))</f>
        <v>3940</v>
      </c>
      <c r="F215" s="54">
        <f>IF(ISERROR(VLOOKUP("Other Current Liabilities",Annual!$A$246:$E$324, 3,0)), 0, VLOOKUP("Other Current Liabilities",Annual!$A$246:$E$324, 3,0))</f>
        <v>4189</v>
      </c>
      <c r="G215" s="54">
        <f>IF(ISERROR(VLOOKUP("Other Current Liabilities",Annual!$A$246:$E$324, 2,0)), 0, VLOOKUP("Other Current Liabilities",Annual!$A$246:$E$324, 2,0))</f>
        <v>7688</v>
      </c>
      <c r="H215" s="18"/>
      <c r="I215" s="18"/>
      <c r="J215" s="18"/>
      <c r="K215" s="18"/>
      <c r="L215" s="18"/>
      <c r="M215" s="18"/>
      <c r="N215" s="10"/>
    </row>
    <row r="216" spans="1:20" x14ac:dyDescent="0.25">
      <c r="A216" s="10" t="s">
        <v>332</v>
      </c>
      <c r="B216" s="18"/>
      <c r="C216" s="18"/>
      <c r="D216" s="54">
        <f>IF(ISERROR(VLOOKUP("Current Deferred Income Taxes",Annual!$A$278:$E$324,5,0)),0,VLOOKUP("Current Deferred Income Taxes",Annual!$A$278:$E$324,5,0))</f>
        <v>0</v>
      </c>
      <c r="E216" s="54">
        <f>IF(ISERROR(VLOOKUP("Current Deferred Income Taxes",Annual!$A$278:$E$324,4,0)),0,VLOOKUP("Current Deferred Income Taxes",Annual!$A$278:$E$324,4,0))</f>
        <v>0</v>
      </c>
      <c r="F216" s="54">
        <f>IF(ISERROR(VLOOKUP("Current Deferred Income Taxes",Annual!$A$278:$E$324,3,0)),0,VLOOKUP("Current Deferred Income Taxes",Annual!$A$278:$E$324,3,0))</f>
        <v>0</v>
      </c>
      <c r="G216" s="54">
        <f>IF(ISERROR(VLOOKUP("Current Deferred Income Taxes",Annual!$A$278:$E$324,2,0)),0,VLOOKUP("Current Deferred Income Taxes",Annual!$A$278:$E$324,2,0))</f>
        <v>0</v>
      </c>
      <c r="H216" s="18"/>
      <c r="I216" s="18"/>
      <c r="J216" s="18"/>
      <c r="K216" s="18"/>
      <c r="L216" s="18"/>
      <c r="M216" s="18"/>
      <c r="N216" s="10"/>
    </row>
    <row r="217" spans="1:20" x14ac:dyDescent="0.25">
      <c r="A217" s="10" t="s">
        <v>406</v>
      </c>
      <c r="B217" s="18"/>
      <c r="C217" s="18"/>
      <c r="D217" s="54">
        <f>IF(ISERROR(VLOOKUP("Deferred Revenues",Annual!$A$246:$E$324, 5,0)), 0, VLOOKUP("Deferred Revenues",Annual!$A$246:$E$324, 5,0))</f>
        <v>15722</v>
      </c>
      <c r="E217" s="54">
        <f>IF(ISERROR(VLOOKUP("Deferred Revenues",Annual!$A$246:$E$324, 4,0)), 0, VLOOKUP("Deferred Revenues",Annual!$A$246:$E$324, 4,0))</f>
        <v>18653</v>
      </c>
      <c r="F217" s="54">
        <f>IF(ISERROR(VLOOKUP("Deferred Revenues",Annual!$A$246:$E$324, 3,0)), 0, VLOOKUP("Deferred Revenues",Annual!$A$246:$E$324, 3,0))</f>
        <v>20639</v>
      </c>
      <c r="G217" s="54">
        <f>IF(ISERROR(VLOOKUP("Deferred Revenues",Annual!$A$246:$E$324, 2,0)), 0, VLOOKUP("Deferred Revenues",Annual!$A$246:$E$324, 2,0))</f>
        <v>23150</v>
      </c>
      <c r="H217" s="18"/>
      <c r="I217" s="18"/>
      <c r="J217" s="18"/>
      <c r="K217" s="18"/>
      <c r="L217" s="18"/>
      <c r="M217" s="18"/>
      <c r="N217" s="10"/>
    </row>
    <row r="218" spans="1:20" x14ac:dyDescent="0.25">
      <c r="A218" s="10"/>
      <c r="B218" s="18"/>
      <c r="C218" s="18"/>
      <c r="D218" s="54"/>
      <c r="E218" s="54"/>
      <c r="F218" s="54"/>
      <c r="G218" s="54"/>
      <c r="H218" s="18"/>
      <c r="I218" s="18"/>
      <c r="J218" s="18"/>
      <c r="K218" s="18"/>
      <c r="L218" s="18"/>
      <c r="M218" s="18"/>
      <c r="N218" s="10"/>
    </row>
    <row r="219" spans="1:20" x14ac:dyDescent="0.25">
      <c r="A219" s="30" t="s">
        <v>236</v>
      </c>
      <c r="B219" s="122"/>
      <c r="C219" s="122"/>
      <c r="D219" s="107">
        <f>SUM(D201:D203)-SUM(D205:D206)</f>
        <v>9846</v>
      </c>
      <c r="E219" s="107">
        <f t="shared" ref="E219:L219" si="58">SUM(E201:E203)-SUM(E205:E206)</f>
        <v>10088</v>
      </c>
      <c r="F219" s="107">
        <f t="shared" si="58"/>
        <v>11466</v>
      </c>
      <c r="G219" s="107">
        <f t="shared" si="58"/>
        <v>11358</v>
      </c>
      <c r="H219" s="107">
        <f>SUM(H201:H203)-SUM(H205:H206)</f>
        <v>12316.515244553397</v>
      </c>
      <c r="I219" s="107">
        <f t="shared" si="58"/>
        <v>12293.373777993937</v>
      </c>
      <c r="J219" s="107">
        <f t="shared" si="58"/>
        <v>13259.315472595052</v>
      </c>
      <c r="K219" s="107">
        <f t="shared" si="58"/>
        <v>14073.841639215536</v>
      </c>
      <c r="L219" s="107">
        <f t="shared" si="58"/>
        <v>14725.469673037023</v>
      </c>
      <c r="M219" s="18"/>
      <c r="N219" s="10"/>
    </row>
    <row r="220" spans="1:20" x14ac:dyDescent="0.25">
      <c r="A220" s="10" t="s">
        <v>114</v>
      </c>
      <c r="B220" s="18"/>
      <c r="C220" s="18"/>
      <c r="D220" s="54">
        <f>D201+D202+D203-D205-D206</f>
        <v>9846</v>
      </c>
      <c r="E220" s="54">
        <f>E201+E202+E203-E205-E206</f>
        <v>10088</v>
      </c>
      <c r="F220" s="54">
        <f>F201+F202+F203-F205-F206</f>
        <v>11466</v>
      </c>
      <c r="G220" s="54">
        <f>G201+G202+G203-G205-G206</f>
        <v>11358</v>
      </c>
      <c r="H220" s="54">
        <f>H221*H70</f>
        <v>12316.515244553397</v>
      </c>
      <c r="I220" s="54">
        <f>I221*I70</f>
        <v>12293.373777993937</v>
      </c>
      <c r="J220" s="54">
        <f>J221*J70</f>
        <v>13259.315472595052</v>
      </c>
      <c r="K220" s="54">
        <f>K221*K70</f>
        <v>14073.841639215534</v>
      </c>
      <c r="L220" s="54">
        <f>L221*L70</f>
        <v>14725.469673037021</v>
      </c>
      <c r="M220" s="22"/>
      <c r="N220" s="10"/>
    </row>
    <row r="221" spans="1:20" x14ac:dyDescent="0.25">
      <c r="A221" s="10" t="s">
        <v>21</v>
      </c>
      <c r="B221" s="18"/>
      <c r="C221" s="16"/>
      <c r="D221" s="16">
        <f>D220/D70</f>
        <v>0.14077177129948673</v>
      </c>
      <c r="E221" s="16">
        <f>E220/E70</f>
        <v>0.13683653676600246</v>
      </c>
      <c r="F221" s="16">
        <f>F220/F70</f>
        <v>0.14728512890338991</v>
      </c>
      <c r="G221" s="16">
        <f>G220/G70</f>
        <v>0.13080280538504946</v>
      </c>
      <c r="H221" s="135">
        <f>B55</f>
        <v>0.13161493090539272</v>
      </c>
      <c r="I221" s="16">
        <f>H221+(($L$221-$G$221)/5)</f>
        <v>0.13242705642573599</v>
      </c>
      <c r="J221" s="16">
        <f>I221+(($L$221-$G$221)/5)</f>
        <v>0.13323918194607925</v>
      </c>
      <c r="K221" s="16">
        <f>J221+(($L$221-$G$221)/5)</f>
        <v>0.13405130746642252</v>
      </c>
      <c r="L221" s="135">
        <f>AVERAGE(AVERAGE(D221:G221),G221)</f>
        <v>0.13486343298676579</v>
      </c>
      <c r="M221" s="16">
        <f>AVERAGE(E221:G221)</f>
        <v>0.13830815701814728</v>
      </c>
      <c r="N221" s="12">
        <f>AVERAGE(H221:L221)</f>
        <v>0.13323918194607925</v>
      </c>
    </row>
    <row r="222" spans="1:20" x14ac:dyDescent="0.25">
      <c r="A222" s="10" t="s">
        <v>20</v>
      </c>
      <c r="B222" s="18"/>
      <c r="C222" s="22"/>
      <c r="D222" s="150"/>
      <c r="E222" s="54">
        <f>IF(ISERROR(E220-D220), "na", E220-D220)</f>
        <v>242</v>
      </c>
      <c r="F222" s="54">
        <f t="shared" ref="F222:L222" si="59">F220-E220</f>
        <v>1378</v>
      </c>
      <c r="G222" s="54">
        <f t="shared" si="59"/>
        <v>-108</v>
      </c>
      <c r="H222" s="54">
        <f t="shared" si="59"/>
        <v>958.51524455339677</v>
      </c>
      <c r="I222" s="54">
        <f t="shared" si="59"/>
        <v>-23.141466559460241</v>
      </c>
      <c r="J222" s="54">
        <f t="shared" si="59"/>
        <v>965.94169460111516</v>
      </c>
      <c r="K222" s="54">
        <f t="shared" si="59"/>
        <v>814.5261666204824</v>
      </c>
      <c r="L222" s="54">
        <f t="shared" si="59"/>
        <v>651.62803382148741</v>
      </c>
      <c r="M222" s="22"/>
      <c r="N222" s="10"/>
    </row>
    <row r="223" spans="1:20" x14ac:dyDescent="0.25">
      <c r="A223" s="1"/>
      <c r="B223" s="13"/>
      <c r="C223" s="21"/>
      <c r="D223" s="21"/>
      <c r="E223" s="21"/>
      <c r="F223" s="21"/>
      <c r="G223" s="21"/>
      <c r="H223" s="21"/>
      <c r="I223" s="21"/>
      <c r="J223" s="21"/>
      <c r="K223" s="21"/>
      <c r="L223" s="21"/>
      <c r="M223" s="22"/>
      <c r="N223" s="10"/>
      <c r="R223" s="167">
        <f>E196</f>
        <v>41090</v>
      </c>
      <c r="S223" s="167">
        <f t="shared" ref="S223:T223" si="60">F196</f>
        <v>41455</v>
      </c>
      <c r="T223" s="167">
        <f t="shared" si="60"/>
        <v>41820</v>
      </c>
    </row>
    <row r="224" spans="1:20" x14ac:dyDescent="0.25">
      <c r="A224" s="1" t="s">
        <v>91</v>
      </c>
      <c r="B224" s="13"/>
      <c r="C224" s="21"/>
      <c r="D224" s="146">
        <f>VLOOKUP(A224,Annual!$A$246:$E$324, 5,0)</f>
        <v>74918</v>
      </c>
      <c r="E224" s="146">
        <f>VLOOKUP(A224,Annual!$A$246:$E$324, 4,0)</f>
        <v>85084</v>
      </c>
      <c r="F224" s="146">
        <f>VLOOKUP(A224,Annual!$A$246:$E$324, 3,0)</f>
        <v>101466</v>
      </c>
      <c r="G224" s="146">
        <f>VLOOKUP(A224,Annual!$A$246:$E$324, 2,0)</f>
        <v>114246</v>
      </c>
      <c r="H224" s="18"/>
      <c r="I224" s="18"/>
      <c r="J224" s="18"/>
      <c r="K224" s="18"/>
      <c r="L224" s="18"/>
      <c r="M224" s="22"/>
      <c r="N224" s="10"/>
      <c r="Q224" s="65" t="s">
        <v>146</v>
      </c>
      <c r="R224" s="68">
        <f>E279</f>
        <v>31626</v>
      </c>
      <c r="S224" s="68">
        <f>F279</f>
        <v>28833</v>
      </c>
      <c r="T224" s="68">
        <f>G279</f>
        <v>32231</v>
      </c>
    </row>
    <row r="225" spans="1:27" x14ac:dyDescent="0.25">
      <c r="A225" s="1" t="s">
        <v>95</v>
      </c>
      <c r="B225" s="13"/>
      <c r="C225" s="21"/>
      <c r="D225" s="146">
        <f>VLOOKUP(A225,Annual!$A$246:$E$324, 5,0)</f>
        <v>28774</v>
      </c>
      <c r="E225" s="146">
        <f>VLOOKUP(A225,Annual!$A$246:$E$324, 4,0)</f>
        <v>32688</v>
      </c>
      <c r="F225" s="146">
        <f>VLOOKUP(A225,Annual!$A$246:$E$324, 3,0)</f>
        <v>37417</v>
      </c>
      <c r="G225" s="146">
        <f>VLOOKUP(A225,Annual!$A$246:$E$324, 2,0)</f>
        <v>45625</v>
      </c>
      <c r="H225" s="18"/>
      <c r="I225" s="18"/>
      <c r="J225" s="18"/>
      <c r="K225" s="18"/>
      <c r="L225" s="18"/>
      <c r="M225" s="22"/>
      <c r="N225" s="10"/>
      <c r="Q225" s="65" t="s">
        <v>11</v>
      </c>
      <c r="R225" s="68">
        <f>E197</f>
        <v>2305</v>
      </c>
      <c r="S225" s="68">
        <f>F197</f>
        <v>4257</v>
      </c>
      <c r="T225" s="68">
        <f>G197</f>
        <v>5485</v>
      </c>
    </row>
    <row r="226" spans="1:27" x14ac:dyDescent="0.25">
      <c r="A226" s="1"/>
      <c r="B226" s="13"/>
      <c r="C226" s="21"/>
      <c r="D226" s="21"/>
      <c r="E226" s="21"/>
      <c r="F226" s="21"/>
      <c r="G226" s="21"/>
      <c r="H226" s="21"/>
      <c r="I226" s="21"/>
      <c r="J226" s="21"/>
      <c r="K226" s="21"/>
      <c r="L226" s="21"/>
      <c r="M226" s="22"/>
      <c r="N226" s="10"/>
      <c r="Q226" s="65" t="s">
        <v>62</v>
      </c>
      <c r="R226" s="68">
        <f>E312</f>
        <v>29321</v>
      </c>
      <c r="S226" s="68">
        <f>F312</f>
        <v>24576</v>
      </c>
      <c r="T226" s="68">
        <f>G312</f>
        <v>26746</v>
      </c>
    </row>
    <row r="227" spans="1:27" x14ac:dyDescent="0.25">
      <c r="A227" s="1" t="s">
        <v>115</v>
      </c>
      <c r="B227" s="13"/>
      <c r="C227" s="21"/>
      <c r="D227" s="92">
        <f>IF(ISERROR(D224-D225), "n/a", D224-D225)</f>
        <v>46144</v>
      </c>
      <c r="E227" s="92">
        <f>IF(ISERROR(E224-E225), "n/a", E224-E225)</f>
        <v>52396</v>
      </c>
      <c r="F227" s="92">
        <f>IF(ISERROR(F224-F225), "n/a", F224-F225)</f>
        <v>64049</v>
      </c>
      <c r="G227" s="92">
        <f>IF(ISERROR(G224-G225), "n/a", G224-G225)</f>
        <v>68621</v>
      </c>
      <c r="H227" s="18"/>
      <c r="I227" s="18"/>
      <c r="J227" s="18"/>
      <c r="K227" s="18"/>
      <c r="L227" s="18"/>
      <c r="M227" s="22"/>
      <c r="N227" s="10"/>
    </row>
    <row r="228" spans="1:27" x14ac:dyDescent="0.25">
      <c r="A228" s="1" t="s">
        <v>116</v>
      </c>
      <c r="B228" s="13"/>
      <c r="C228" s="21"/>
      <c r="D228" s="92"/>
      <c r="E228" s="92">
        <f>IF(ISERROR(E227-D227),"n/a", E227-D227)</f>
        <v>6252</v>
      </c>
      <c r="F228" s="92">
        <f>IF(ISERROR(F227-E227),"n/a", F227-E227)</f>
        <v>11653</v>
      </c>
      <c r="G228" s="92">
        <f>IF(ISERROR(G227-F227),"n/a", G227-F227)</f>
        <v>4572</v>
      </c>
      <c r="H228" s="18"/>
      <c r="I228" s="18"/>
      <c r="J228" s="18"/>
      <c r="K228" s="18"/>
      <c r="L228" s="18"/>
      <c r="M228" s="22"/>
      <c r="N228" s="10"/>
    </row>
    <row r="229" spans="1:27" x14ac:dyDescent="0.25">
      <c r="A229" s="1"/>
      <c r="B229" s="13"/>
      <c r="C229" s="21"/>
      <c r="D229" s="21"/>
      <c r="E229" s="21"/>
      <c r="F229" s="21"/>
      <c r="G229" s="21"/>
      <c r="H229" s="21"/>
      <c r="I229" s="21"/>
      <c r="J229" s="21"/>
      <c r="K229" s="21"/>
      <c r="L229" s="21"/>
      <c r="M229" s="22"/>
      <c r="N229" s="10"/>
    </row>
    <row r="230" spans="1:27" x14ac:dyDescent="0.25">
      <c r="A230" s="1" t="s">
        <v>178</v>
      </c>
      <c r="B230" s="13"/>
      <c r="C230" s="21"/>
      <c r="D230" s="92">
        <f>IF(D224-D325&lt;0, D224, D224-D325)</f>
        <v>22146</v>
      </c>
      <c r="E230" s="92">
        <f>IF(E224-E325&lt;0, E224, E224-E325)</f>
        <v>22044</v>
      </c>
      <c r="F230" s="92">
        <f>IF(F224-F325&lt;0, F224, F224-F325)</f>
        <v>24444</v>
      </c>
      <c r="G230" s="92">
        <f>IF(G224-G325&lt;0, G224, G224-G325)</f>
        <v>28537</v>
      </c>
      <c r="H230" s="21"/>
      <c r="I230" s="21"/>
      <c r="J230" s="21"/>
      <c r="K230" s="21"/>
      <c r="L230" s="21"/>
      <c r="M230" s="22"/>
      <c r="N230" s="10"/>
    </row>
    <row r="231" spans="1:27" x14ac:dyDescent="0.25">
      <c r="A231" s="1" t="s">
        <v>179</v>
      </c>
      <c r="B231" s="13"/>
      <c r="C231" s="21"/>
      <c r="D231" s="92">
        <f>IF(D362-D359-D360&lt;0, D362, D362-D359-D360)</f>
        <v>28774</v>
      </c>
      <c r="E231" s="92">
        <f t="shared" ref="E231:G231" si="61">IF(E362-E359-E360&lt;0, E362, E362-E359-E360)</f>
        <v>31457</v>
      </c>
      <c r="F231" s="92">
        <f t="shared" si="61"/>
        <v>34418</v>
      </c>
      <c r="G231" s="92">
        <f t="shared" si="61"/>
        <v>43625</v>
      </c>
      <c r="H231" s="21"/>
      <c r="I231" s="21"/>
      <c r="J231" s="21"/>
      <c r="K231" s="21"/>
      <c r="L231" s="21"/>
      <c r="M231" s="22"/>
      <c r="N231" s="10"/>
    </row>
    <row r="232" spans="1:27" x14ac:dyDescent="0.25">
      <c r="A232" s="1" t="s">
        <v>180</v>
      </c>
      <c r="B232" s="13"/>
      <c r="C232" s="21"/>
      <c r="D232" s="92">
        <f>D230-D231</f>
        <v>-6628</v>
      </c>
      <c r="E232" s="92">
        <f t="shared" ref="E232:G232" si="62">E230-E231</f>
        <v>-9413</v>
      </c>
      <c r="F232" s="92">
        <f t="shared" si="62"/>
        <v>-9974</v>
      </c>
      <c r="G232" s="92">
        <f t="shared" si="62"/>
        <v>-15088</v>
      </c>
      <c r="H232" s="92">
        <f>G232+H222</f>
        <v>-14129.484755446603</v>
      </c>
      <c r="I232" s="92">
        <f t="shared" ref="I232:L232" si="63">H232+I222</f>
        <v>-14152.626222006063</v>
      </c>
      <c r="J232" s="92">
        <f t="shared" si="63"/>
        <v>-13186.684527404948</v>
      </c>
      <c r="K232" s="92">
        <f t="shared" si="63"/>
        <v>-12372.158360784466</v>
      </c>
      <c r="L232" s="92">
        <f t="shared" si="63"/>
        <v>-11720.530326962979</v>
      </c>
      <c r="M232" s="22"/>
      <c r="N232" s="10"/>
    </row>
    <row r="233" spans="1:27" x14ac:dyDescent="0.25">
      <c r="A233" s="1"/>
      <c r="B233" s="13"/>
      <c r="C233" s="13"/>
      <c r="D233" s="13"/>
      <c r="E233" s="13"/>
      <c r="F233" s="13"/>
      <c r="G233" s="13"/>
      <c r="H233" s="1"/>
      <c r="I233" s="1"/>
      <c r="J233" s="1"/>
      <c r="K233" s="1"/>
      <c r="L233" s="1"/>
      <c r="M233" s="18"/>
      <c r="N233" s="10"/>
    </row>
    <row r="234" spans="1:27" x14ac:dyDescent="0.25">
      <c r="A234" s="1" t="s">
        <v>234</v>
      </c>
      <c r="B234" s="13"/>
      <c r="C234" s="13"/>
      <c r="D234" s="13"/>
      <c r="E234" s="13"/>
      <c r="F234" s="13"/>
      <c r="G234" s="13"/>
      <c r="H234" s="46">
        <f>H201+H202-H205</f>
        <v>14705.453868116756</v>
      </c>
      <c r="I234" s="46">
        <f t="shared" ref="I234:L234" si="64">I201+I202-I205</f>
        <v>14892.061343120016</v>
      </c>
      <c r="J234" s="46">
        <f t="shared" si="64"/>
        <v>15863.666173063957</v>
      </c>
      <c r="K234" s="46">
        <f t="shared" si="64"/>
        <v>16744.770428516182</v>
      </c>
      <c r="L234" s="46">
        <f t="shared" si="64"/>
        <v>17422.958389720014</v>
      </c>
      <c r="M234" s="18"/>
      <c r="N234" s="10"/>
    </row>
    <row r="235" spans="1:27" x14ac:dyDescent="0.25">
      <c r="A235" s="1" t="s">
        <v>235</v>
      </c>
      <c r="B235" s="13"/>
      <c r="C235" s="13"/>
      <c r="D235" s="13"/>
      <c r="E235" s="13"/>
      <c r="F235" s="13"/>
      <c r="G235" s="13"/>
      <c r="H235" s="46">
        <f>H220-H234</f>
        <v>-2388.9386235633592</v>
      </c>
      <c r="I235" s="46">
        <f t="shared" ref="I235:L235" si="65">I220-I234</f>
        <v>-2598.6875651260798</v>
      </c>
      <c r="J235" s="46">
        <f t="shared" si="65"/>
        <v>-2604.3507004689054</v>
      </c>
      <c r="K235" s="46">
        <f t="shared" si="65"/>
        <v>-2670.9287893006476</v>
      </c>
      <c r="L235" s="46">
        <f t="shared" si="65"/>
        <v>-2697.4887166829922</v>
      </c>
      <c r="M235" s="18"/>
      <c r="N235" s="10"/>
    </row>
    <row r="236" spans="1:27" x14ac:dyDescent="0.25">
      <c r="A236" s="1"/>
      <c r="B236" s="13"/>
      <c r="C236" s="13"/>
      <c r="D236" s="13"/>
      <c r="E236" s="13"/>
      <c r="F236" s="13"/>
      <c r="G236" s="13"/>
      <c r="H236" s="1"/>
      <c r="I236" s="1"/>
      <c r="J236" s="1"/>
      <c r="K236" s="1"/>
      <c r="L236" s="1"/>
      <c r="M236" s="18"/>
      <c r="N236" s="10"/>
    </row>
    <row r="237" spans="1:27" x14ac:dyDescent="0.25">
      <c r="A237" s="1"/>
      <c r="B237" s="13"/>
      <c r="C237" s="21"/>
      <c r="D237" s="21"/>
      <c r="E237" s="21"/>
      <c r="F237" s="21"/>
      <c r="G237" s="21"/>
      <c r="H237" s="21"/>
      <c r="I237" s="21"/>
      <c r="J237" s="21"/>
      <c r="K237" s="21"/>
      <c r="L237" s="21"/>
      <c r="M237" s="22"/>
      <c r="N237" s="10"/>
    </row>
    <row r="238" spans="1:27" s="96" customFormat="1" ht="20.100000000000001" customHeight="1" x14ac:dyDescent="0.4">
      <c r="A238" s="93" t="s">
        <v>202</v>
      </c>
      <c r="B238" s="94"/>
      <c r="C238" s="94"/>
      <c r="D238" s="94"/>
      <c r="E238" s="94"/>
      <c r="F238" s="94"/>
      <c r="G238" s="94"/>
      <c r="H238" s="95"/>
      <c r="I238" s="94"/>
      <c r="J238" s="94"/>
      <c r="K238" s="94"/>
      <c r="L238" s="94"/>
      <c r="M238" s="94"/>
      <c r="N238" s="94"/>
    </row>
    <row r="239" spans="1:27" x14ac:dyDescent="0.25">
      <c r="A239" s="1" t="str">
        <f>A195</f>
        <v>In Millions of USD (except for per share items)</v>
      </c>
      <c r="B239" s="1"/>
      <c r="C239" s="1"/>
      <c r="D239" s="1"/>
      <c r="E239" s="1"/>
      <c r="F239" s="1"/>
      <c r="G239" s="1"/>
      <c r="H239" s="2" t="str">
        <f t="shared" ref="H239:L240" si="66">H195</f>
        <v>Year 1</v>
      </c>
      <c r="I239" s="2" t="str">
        <f t="shared" si="66"/>
        <v>Year 2</v>
      </c>
      <c r="J239" s="2" t="str">
        <f t="shared" si="66"/>
        <v>Year 3</v>
      </c>
      <c r="K239" s="2" t="str">
        <f t="shared" si="66"/>
        <v>Year 4</v>
      </c>
      <c r="L239" s="2" t="str">
        <f t="shared" si="66"/>
        <v>Year 5</v>
      </c>
      <c r="M239" s="2">
        <v>6</v>
      </c>
      <c r="N239" s="2">
        <f>M239+1</f>
        <v>7</v>
      </c>
      <c r="O239" s="2">
        <f t="shared" ref="O239:AA239" si="67">N239+1</f>
        <v>8</v>
      </c>
      <c r="P239" s="2">
        <f t="shared" si="67"/>
        <v>9</v>
      </c>
      <c r="Q239" s="2">
        <f t="shared" si="67"/>
        <v>10</v>
      </c>
      <c r="R239" s="2">
        <f t="shared" si="67"/>
        <v>11</v>
      </c>
      <c r="S239" s="2">
        <f t="shared" si="67"/>
        <v>12</v>
      </c>
      <c r="T239" s="2">
        <f t="shared" si="67"/>
        <v>13</v>
      </c>
      <c r="U239" s="2">
        <f t="shared" si="67"/>
        <v>14</v>
      </c>
      <c r="V239" s="2">
        <f t="shared" si="67"/>
        <v>15</v>
      </c>
      <c r="W239" s="2">
        <f t="shared" si="67"/>
        <v>16</v>
      </c>
      <c r="X239" s="2">
        <f t="shared" si="67"/>
        <v>17</v>
      </c>
      <c r="Y239" s="2">
        <f t="shared" si="67"/>
        <v>18</v>
      </c>
      <c r="Z239" s="2">
        <f t="shared" si="67"/>
        <v>19</v>
      </c>
      <c r="AA239" s="2">
        <f t="shared" si="67"/>
        <v>20</v>
      </c>
    </row>
    <row r="240" spans="1:27" x14ac:dyDescent="0.25">
      <c r="A240" s="3" t="str">
        <f>A196</f>
        <v xml:space="preserve">Fiscal Year </v>
      </c>
      <c r="B240" s="36"/>
      <c r="C240" s="13"/>
      <c r="D240" s="156">
        <f>D196</f>
        <v>40724</v>
      </c>
      <c r="E240" s="156">
        <f t="shared" ref="E240:G240" si="68">E196</f>
        <v>41090</v>
      </c>
      <c r="F240" s="156">
        <f t="shared" si="68"/>
        <v>41455</v>
      </c>
      <c r="G240" s="156">
        <f t="shared" si="68"/>
        <v>41820</v>
      </c>
      <c r="H240" s="145">
        <f t="shared" si="66"/>
        <v>42185</v>
      </c>
      <c r="I240" s="145">
        <f t="shared" si="66"/>
        <v>42550</v>
      </c>
      <c r="J240" s="145">
        <f t="shared" si="66"/>
        <v>42915</v>
      </c>
      <c r="K240" s="145">
        <f t="shared" si="66"/>
        <v>43280</v>
      </c>
      <c r="L240" s="145">
        <f t="shared" si="66"/>
        <v>43645</v>
      </c>
      <c r="M240" s="30"/>
      <c r="N240" s="10"/>
    </row>
    <row r="241" spans="1:30" x14ac:dyDescent="0.25">
      <c r="A241" s="10" t="s">
        <v>183</v>
      </c>
      <c r="B241" s="22"/>
      <c r="C241" s="22"/>
      <c r="D241" s="54">
        <f t="shared" ref="D241:L241" si="69">D116-D145+D153+D154+D244+D102</f>
        <v>25630.111214953271</v>
      </c>
      <c r="E241" s="54">
        <f t="shared" si="69"/>
        <v>33082.910280373835</v>
      </c>
      <c r="F241" s="54">
        <f t="shared" si="69"/>
        <v>25845.108411214955</v>
      </c>
      <c r="G241" s="54">
        <f t="shared" si="69"/>
        <v>26778.368224299065</v>
      </c>
      <c r="H241" s="54">
        <f t="shared" si="69"/>
        <v>23400.495938828415</v>
      </c>
      <c r="I241" s="54">
        <f t="shared" si="69"/>
        <v>25406.85978919606</v>
      </c>
      <c r="J241" s="54">
        <f t="shared" si="69"/>
        <v>27850.804378382589</v>
      </c>
      <c r="K241" s="54">
        <f t="shared" si="69"/>
        <v>30090.363720606074</v>
      </c>
      <c r="L241" s="54">
        <f t="shared" si="69"/>
        <v>32081.728535575814</v>
      </c>
      <c r="M241" s="19">
        <f>L241*(1+M242)</f>
        <v>33364.99767699885</v>
      </c>
      <c r="N241" s="19">
        <f t="shared" ref="N241:AA241" si="70">M241*(1+N242)</f>
        <v>34675.765442880947</v>
      </c>
      <c r="O241" s="19">
        <f t="shared" si="70"/>
        <v>36013.259252820637</v>
      </c>
      <c r="P241" s="19">
        <f t="shared" si="70"/>
        <v>37376.618353105987</v>
      </c>
      <c r="Q241" s="19">
        <f t="shared" si="70"/>
        <v>38764.892749078492</v>
      </c>
      <c r="R241" s="19">
        <f t="shared" si="70"/>
        <v>40177.042413509211</v>
      </c>
      <c r="S241" s="19">
        <f t="shared" si="70"/>
        <v>41611.936785420257</v>
      </c>
      <c r="T241" s="19">
        <f t="shared" si="70"/>
        <v>43068.354572909964</v>
      </c>
      <c r="U241" s="19">
        <f t="shared" si="70"/>
        <v>44544.983872552591</v>
      </c>
      <c r="V241" s="19">
        <f t="shared" si="70"/>
        <v>46040.422616845426</v>
      </c>
      <c r="W241" s="19">
        <f t="shared" si="70"/>
        <v>47553.179359970352</v>
      </c>
      <c r="X241" s="19">
        <f t="shared" si="70"/>
        <v>49081.674410826534</v>
      </c>
      <c r="Y241" s="19">
        <f t="shared" si="70"/>
        <v>50624.241320881076</v>
      </c>
      <c r="Z241" s="19">
        <f t="shared" si="70"/>
        <v>52179.128732879566</v>
      </c>
      <c r="AA241" s="19">
        <f t="shared" si="70"/>
        <v>53744.502594865953</v>
      </c>
      <c r="AB241" s="85"/>
    </row>
    <row r="242" spans="1:30" x14ac:dyDescent="0.25">
      <c r="A242" s="10" t="s">
        <v>177</v>
      </c>
      <c r="B242" s="22"/>
      <c r="C242" s="22"/>
      <c r="D242" s="16"/>
      <c r="E242" s="16">
        <f>IF(ISERROR(E241/D241-1), "na", E241/D241-1)</f>
        <v>0.29078293897813468</v>
      </c>
      <c r="F242" s="16">
        <f t="shared" ref="F242:L242" si="71">F241/E241-1</f>
        <v>-0.21877766519992792</v>
      </c>
      <c r="G242" s="16">
        <f t="shared" si="71"/>
        <v>3.6109727157466409E-2</v>
      </c>
      <c r="H242" s="16">
        <f t="shared" si="71"/>
        <v>-0.12614182676021024</v>
      </c>
      <c r="I242" s="16">
        <f t="shared" si="71"/>
        <v>8.5740227711947226E-2</v>
      </c>
      <c r="J242" s="16">
        <f t="shared" si="71"/>
        <v>9.619231221269553E-2</v>
      </c>
      <c r="K242" s="16">
        <f t="shared" si="71"/>
        <v>8.0412734648403816E-2</v>
      </c>
      <c r="L242" s="16">
        <f t="shared" si="71"/>
        <v>6.6179486345192995E-2</v>
      </c>
      <c r="M242" s="16">
        <f>B59</f>
        <v>0.04</v>
      </c>
      <c r="N242" s="16">
        <f>M242+$AD$242</f>
        <v>3.9285714285714285E-2</v>
      </c>
      <c r="O242" s="16">
        <f t="shared" ref="O242:Z242" si="72">N242+$AD$242</f>
        <v>3.8571428571428569E-2</v>
      </c>
      <c r="P242" s="16">
        <f t="shared" si="72"/>
        <v>3.7857142857142853E-2</v>
      </c>
      <c r="Q242" s="16">
        <f t="shared" si="72"/>
        <v>3.7142857142857137E-2</v>
      </c>
      <c r="R242" s="16">
        <f t="shared" si="72"/>
        <v>3.6428571428571421E-2</v>
      </c>
      <c r="S242" s="16">
        <f t="shared" si="72"/>
        <v>3.5714285714285705E-2</v>
      </c>
      <c r="T242" s="16">
        <f t="shared" si="72"/>
        <v>3.4999999999999989E-2</v>
      </c>
      <c r="U242" s="16">
        <f t="shared" si="72"/>
        <v>3.4285714285714274E-2</v>
      </c>
      <c r="V242" s="16">
        <f t="shared" si="72"/>
        <v>3.3571428571428558E-2</v>
      </c>
      <c r="W242" s="16">
        <f t="shared" si="72"/>
        <v>3.2857142857142842E-2</v>
      </c>
      <c r="X242" s="16">
        <f t="shared" si="72"/>
        <v>3.2142857142857126E-2</v>
      </c>
      <c r="Y242" s="16">
        <f t="shared" si="72"/>
        <v>3.142857142857141E-2</v>
      </c>
      <c r="Z242" s="16">
        <f t="shared" si="72"/>
        <v>3.0714285714285694E-2</v>
      </c>
      <c r="AA242" s="133">
        <f>B65</f>
        <v>0.03</v>
      </c>
      <c r="AD242">
        <f>(AA242-M242)/14</f>
        <v>-7.1428571428571439E-4</v>
      </c>
    </row>
    <row r="243" spans="1:30" x14ac:dyDescent="0.25">
      <c r="A243" s="10"/>
      <c r="B243" s="22"/>
      <c r="C243" s="22"/>
      <c r="D243" s="22"/>
      <c r="E243" s="22"/>
      <c r="F243" s="22"/>
      <c r="G243" s="22"/>
      <c r="H243" s="22"/>
      <c r="I243" s="22"/>
      <c r="J243" s="22"/>
      <c r="K243" s="22"/>
      <c r="L243" s="22"/>
      <c r="M243" s="19"/>
      <c r="N243" s="10"/>
      <c r="R243" s="65"/>
      <c r="U243" s="65"/>
    </row>
    <row r="244" spans="1:30" x14ac:dyDescent="0.25">
      <c r="A244" s="31" t="s">
        <v>285</v>
      </c>
      <c r="B244" s="22"/>
      <c r="C244" s="22"/>
      <c r="D244" s="54">
        <f>D268+D277</f>
        <v>4079</v>
      </c>
      <c r="E244" s="54">
        <f t="shared" ref="E244:G244" si="73">E268+E277</f>
        <v>10901</v>
      </c>
      <c r="F244" s="54">
        <f t="shared" si="73"/>
        <v>4609</v>
      </c>
      <c r="G244" s="54">
        <f t="shared" si="73"/>
        <v>4652</v>
      </c>
      <c r="H244" s="158">
        <f>MEDIAN(D244:G244)*0.67</f>
        <v>3102.4350000000004</v>
      </c>
      <c r="I244" s="54">
        <f t="shared" ref="I244:L244" si="74">H244*(1+$B$65)</f>
        <v>3195.5080500000004</v>
      </c>
      <c r="J244" s="54">
        <f t="shared" si="74"/>
        <v>3291.3732915000005</v>
      </c>
      <c r="K244" s="54">
        <f t="shared" si="74"/>
        <v>3390.1144902450005</v>
      </c>
      <c r="L244" s="54">
        <f t="shared" si="74"/>
        <v>3491.8179249523505</v>
      </c>
      <c r="M244" s="19"/>
      <c r="N244" s="10"/>
      <c r="Q244" s="65"/>
      <c r="T244" s="65"/>
    </row>
    <row r="245" spans="1:30" x14ac:dyDescent="0.25">
      <c r="A245" s="31" t="s">
        <v>286</v>
      </c>
      <c r="B245" s="22"/>
      <c r="C245" s="22"/>
      <c r="D245" s="54">
        <f t="shared" ref="D245:L245" si="75">D95</f>
        <v>2766</v>
      </c>
      <c r="E245" s="54">
        <f t="shared" si="75"/>
        <v>2967</v>
      </c>
      <c r="F245" s="54">
        <f t="shared" si="75"/>
        <v>3755</v>
      </c>
      <c r="G245" s="54">
        <f t="shared" si="75"/>
        <v>5212</v>
      </c>
      <c r="H245" s="54">
        <f t="shared" si="75"/>
        <v>5616.9724000000006</v>
      </c>
      <c r="I245" s="54">
        <f t="shared" si="75"/>
        <v>5572.0366207999996</v>
      </c>
      <c r="J245" s="54">
        <f t="shared" si="75"/>
        <v>5973.2232574976006</v>
      </c>
      <c r="K245" s="54">
        <f t="shared" si="75"/>
        <v>6301.750536659968</v>
      </c>
      <c r="L245" s="54">
        <f t="shared" si="75"/>
        <v>6553.8205581263674</v>
      </c>
      <c r="M245" s="19"/>
      <c r="N245" s="10"/>
      <c r="Q245" s="65"/>
      <c r="R245" s="66"/>
      <c r="T245" s="65"/>
    </row>
    <row r="246" spans="1:30" x14ac:dyDescent="0.25">
      <c r="A246" s="31" t="s">
        <v>33</v>
      </c>
      <c r="B246" s="22"/>
      <c r="C246" s="22"/>
      <c r="D246" s="54">
        <f t="shared" ref="D246:L246" si="76">D197</f>
        <v>2355</v>
      </c>
      <c r="E246" s="54">
        <f t="shared" si="76"/>
        <v>2305</v>
      </c>
      <c r="F246" s="54">
        <f t="shared" si="76"/>
        <v>4257</v>
      </c>
      <c r="G246" s="54">
        <f t="shared" si="76"/>
        <v>5485</v>
      </c>
      <c r="H246" s="54">
        <f t="shared" si="76"/>
        <v>5943.5459999999994</v>
      </c>
      <c r="I246" s="54">
        <f t="shared" si="76"/>
        <v>6211.0055699999994</v>
      </c>
      <c r="J246" s="54">
        <f t="shared" si="76"/>
        <v>6429.8730665258672</v>
      </c>
      <c r="K246" s="54">
        <f t="shared" si="76"/>
        <v>6542.6333109223788</v>
      </c>
      <c r="L246" s="54">
        <f t="shared" si="76"/>
        <v>6553.8205581263674</v>
      </c>
      <c r="M246" s="19"/>
      <c r="N246" s="10"/>
      <c r="Q246" s="65"/>
    </row>
    <row r="247" spans="1:30" x14ac:dyDescent="0.25">
      <c r="A247" s="31" t="s">
        <v>283</v>
      </c>
      <c r="B247" s="22"/>
      <c r="C247" s="22"/>
      <c r="D247" s="54">
        <f>-D288</f>
        <v>71</v>
      </c>
      <c r="E247" s="54">
        <f t="shared" ref="E247:L247" si="77">-E288</f>
        <v>10112</v>
      </c>
      <c r="F247" s="54">
        <f t="shared" si="77"/>
        <v>1584</v>
      </c>
      <c r="G247" s="54">
        <f t="shared" si="77"/>
        <v>5937</v>
      </c>
      <c r="H247" s="54">
        <f t="shared" si="77"/>
        <v>0</v>
      </c>
      <c r="I247" s="54">
        <f t="shared" si="77"/>
        <v>0</v>
      </c>
      <c r="J247" s="54">
        <f t="shared" si="77"/>
        <v>0</v>
      </c>
      <c r="K247" s="54">
        <f t="shared" si="77"/>
        <v>0</v>
      </c>
      <c r="L247" s="54">
        <f t="shared" si="77"/>
        <v>0</v>
      </c>
      <c r="M247" s="19"/>
      <c r="N247" s="10"/>
      <c r="Q247" s="65"/>
    </row>
    <row r="248" spans="1:30" x14ac:dyDescent="0.25">
      <c r="A248" s="31" t="s">
        <v>32</v>
      </c>
      <c r="B248" s="22"/>
      <c r="C248" s="22"/>
      <c r="D248" s="54">
        <f>D222</f>
        <v>0</v>
      </c>
      <c r="E248" s="54">
        <f>E222</f>
        <v>242</v>
      </c>
      <c r="F248" s="54">
        <f t="shared" ref="F248" si="78">F222</f>
        <v>1378</v>
      </c>
      <c r="G248" s="54">
        <f t="shared" ref="G248:L248" si="79">G222</f>
        <v>-108</v>
      </c>
      <c r="H248" s="54">
        <f t="shared" si="79"/>
        <v>958.51524455339677</v>
      </c>
      <c r="I248" s="54">
        <f t="shared" si="79"/>
        <v>-23.141466559460241</v>
      </c>
      <c r="J248" s="54">
        <f t="shared" si="79"/>
        <v>965.94169460111516</v>
      </c>
      <c r="K248" s="54">
        <f t="shared" si="79"/>
        <v>814.5261666204824</v>
      </c>
      <c r="L248" s="54">
        <f t="shared" si="79"/>
        <v>651.62803382148741</v>
      </c>
      <c r="M248" s="19"/>
      <c r="N248" s="10"/>
    </row>
    <row r="249" spans="1:30" x14ac:dyDescent="0.25">
      <c r="A249" s="10"/>
      <c r="B249" s="18"/>
      <c r="C249" s="18"/>
      <c r="D249" s="18"/>
      <c r="E249" s="18"/>
      <c r="F249" s="18"/>
      <c r="G249" s="18"/>
      <c r="H249" s="10"/>
      <c r="I249" s="10"/>
      <c r="J249" s="10"/>
      <c r="K249" s="10"/>
      <c r="L249" s="10"/>
      <c r="M249" s="10"/>
      <c r="N249" s="10"/>
    </row>
    <row r="250" spans="1:30" x14ac:dyDescent="0.25">
      <c r="A250" s="10" t="s">
        <v>46</v>
      </c>
      <c r="B250" s="18"/>
      <c r="C250" s="22"/>
      <c r="D250" s="54">
        <f>D246-D245+D248+D247</f>
        <v>-340</v>
      </c>
      <c r="E250" s="54">
        <f>IF(ISERROR(E246-E245+E248+E247), E246-E245+E247, E246-E245+E248+E247)</f>
        <v>9692</v>
      </c>
      <c r="F250" s="54">
        <f t="shared" ref="F250:L250" si="80">F246-F245+F248+F247</f>
        <v>3464</v>
      </c>
      <c r="G250" s="54">
        <f t="shared" si="80"/>
        <v>6102</v>
      </c>
      <c r="H250" s="44">
        <f t="shared" si="80"/>
        <v>1285.0888445533956</v>
      </c>
      <c r="I250" s="44">
        <f t="shared" si="80"/>
        <v>615.82748264053953</v>
      </c>
      <c r="J250" s="44">
        <f t="shared" si="80"/>
        <v>1422.5915036293818</v>
      </c>
      <c r="K250" s="44">
        <f t="shared" si="80"/>
        <v>1055.4089408828931</v>
      </c>
      <c r="L250" s="44">
        <f t="shared" si="80"/>
        <v>651.62803382148741</v>
      </c>
      <c r="M250" s="44">
        <f>L250+$AB$250</f>
        <v>1075.7405587854628</v>
      </c>
      <c r="N250" s="44">
        <f t="shared" ref="N250:Z250" si="81">M250+$AB$250</f>
        <v>1499.8530837494382</v>
      </c>
      <c r="O250" s="44">
        <f t="shared" si="81"/>
        <v>1923.9656087134135</v>
      </c>
      <c r="P250" s="44">
        <f t="shared" si="81"/>
        <v>2348.0781336773889</v>
      </c>
      <c r="Q250" s="44">
        <f t="shared" si="81"/>
        <v>2772.1906586413643</v>
      </c>
      <c r="R250" s="44">
        <f t="shared" si="81"/>
        <v>3196.3031836053397</v>
      </c>
      <c r="S250" s="44">
        <f t="shared" si="81"/>
        <v>3620.415708569315</v>
      </c>
      <c r="T250" s="44">
        <f t="shared" si="81"/>
        <v>4044.5282335332904</v>
      </c>
      <c r="U250" s="44">
        <f t="shared" si="81"/>
        <v>4468.6407584972658</v>
      </c>
      <c r="V250" s="44">
        <f t="shared" si="81"/>
        <v>4892.7532834612412</v>
      </c>
      <c r="W250" s="44">
        <f t="shared" si="81"/>
        <v>5316.8658084252165</v>
      </c>
      <c r="X250" s="44">
        <f t="shared" si="81"/>
        <v>5740.9783333891919</v>
      </c>
      <c r="Y250" s="44">
        <f t="shared" si="81"/>
        <v>6165.0908583531673</v>
      </c>
      <c r="Z250" s="44">
        <f t="shared" si="81"/>
        <v>6589.2033833171427</v>
      </c>
      <c r="AA250" s="44">
        <f>AA251*AA241</f>
        <v>7013.3159082811162</v>
      </c>
      <c r="AB250" s="68">
        <f>(AA250-L250)/15</f>
        <v>424.11252496397526</v>
      </c>
    </row>
    <row r="251" spans="1:30" x14ac:dyDescent="0.25">
      <c r="A251" s="10" t="s">
        <v>47</v>
      </c>
      <c r="B251" s="18"/>
      <c r="C251" s="16"/>
      <c r="D251" s="16">
        <f t="shared" ref="D251:Z251" si="82">D250/D241</f>
        <v>-1.3265646689883857E-2</v>
      </c>
      <c r="E251" s="16">
        <f t="shared" si="82"/>
        <v>0.29296092507767368</v>
      </c>
      <c r="F251" s="16">
        <f t="shared" si="82"/>
        <v>0.13402923078847942</v>
      </c>
      <c r="G251" s="16">
        <f t="shared" si="82"/>
        <v>0.22787049415740576</v>
      </c>
      <c r="H251" s="12">
        <f t="shared" si="82"/>
        <v>5.4917162777778958E-2</v>
      </c>
      <c r="I251" s="12">
        <f t="shared" si="82"/>
        <v>2.4238630344329774E-2</v>
      </c>
      <c r="J251" s="12">
        <f t="shared" si="82"/>
        <v>5.1079009579112114E-2</v>
      </c>
      <c r="K251" s="12">
        <f t="shared" si="82"/>
        <v>3.5074648837167176E-2</v>
      </c>
      <c r="L251" s="12">
        <f t="shared" si="82"/>
        <v>2.0311500145601232E-2</v>
      </c>
      <c r="M251" s="66">
        <f t="shared" si="82"/>
        <v>3.2241589500455935E-2</v>
      </c>
      <c r="N251" s="66">
        <f t="shared" si="82"/>
        <v>4.3253640246818638E-2</v>
      </c>
      <c r="O251" s="66">
        <f t="shared" si="82"/>
        <v>5.3423812468812421E-2</v>
      </c>
      <c r="P251" s="66">
        <f t="shared" si="82"/>
        <v>6.2822112784375647E-2</v>
      </c>
      <c r="Q251" s="66">
        <f t="shared" si="82"/>
        <v>7.1512919604485789E-2</v>
      </c>
      <c r="R251" s="66">
        <f t="shared" si="82"/>
        <v>7.9555462313736863E-2</v>
      </c>
      <c r="S251" s="66">
        <f t="shared" si="82"/>
        <v>8.7004258591438954E-2</v>
      </c>
      <c r="T251" s="66">
        <f t="shared" si="82"/>
        <v>9.3909513693780686E-2</v>
      </c>
      <c r="U251" s="66">
        <f t="shared" si="82"/>
        <v>0.10031748515798028</v>
      </c>
      <c r="V251" s="66">
        <f t="shared" si="82"/>
        <v>0.10627081606481745</v>
      </c>
      <c r="W251" s="66">
        <f t="shared" si="82"/>
        <v>0.1118088397029639</v>
      </c>
      <c r="X251" s="66">
        <f t="shared" si="82"/>
        <v>0.11696785821395767</v>
      </c>
      <c r="Y251" s="66">
        <f t="shared" si="82"/>
        <v>0.1217813975576606</v>
      </c>
      <c r="Z251" s="66">
        <f t="shared" si="82"/>
        <v>0.12628044092206347</v>
      </c>
      <c r="AA251" s="137">
        <f>(AA242-0.0175)/AA253</f>
        <v>0.13049364250607237</v>
      </c>
    </row>
    <row r="252" spans="1:30" x14ac:dyDescent="0.25">
      <c r="A252" s="10"/>
      <c r="B252" s="18"/>
      <c r="C252" s="18"/>
      <c r="D252" s="18"/>
      <c r="E252" s="18"/>
      <c r="F252" s="18"/>
      <c r="G252" s="18"/>
      <c r="H252" s="10"/>
      <c r="I252" s="10"/>
      <c r="J252" s="10"/>
      <c r="K252" s="10"/>
      <c r="L252" s="10"/>
    </row>
    <row r="253" spans="1:30" x14ac:dyDescent="0.25">
      <c r="A253" s="10" t="s">
        <v>69</v>
      </c>
      <c r="B253" s="18"/>
      <c r="C253" s="18"/>
      <c r="D253" s="16"/>
      <c r="E253" s="16">
        <f>IF(ISERROR(E242/E251), "na", E242/E251)</f>
        <v>0.99256560888124734</v>
      </c>
      <c r="F253" s="16">
        <f t="shared" ref="F253:Z253" si="83">F242/F251</f>
        <v>-1.6323130701629984</v>
      </c>
      <c r="G253" s="16">
        <f t="shared" si="83"/>
        <v>0.15846600627689406</v>
      </c>
      <c r="H253" s="12">
        <f t="shared" si="83"/>
        <v>-2.2969472634746309</v>
      </c>
      <c r="I253" s="12">
        <f t="shared" si="83"/>
        <v>3.5373379804855487</v>
      </c>
      <c r="J253" s="12">
        <f t="shared" si="83"/>
        <v>1.8832062916903489</v>
      </c>
      <c r="K253" s="12">
        <f t="shared" si="83"/>
        <v>2.2926169559591916</v>
      </c>
      <c r="L253" s="12">
        <f t="shared" si="83"/>
        <v>3.2582274017571855</v>
      </c>
      <c r="M253" s="12">
        <f t="shared" si="83"/>
        <v>1.2406336232099957</v>
      </c>
      <c r="N253" s="12">
        <f t="shared" si="83"/>
        <v>0.90826376835655587</v>
      </c>
      <c r="O253" s="12">
        <f t="shared" si="83"/>
        <v>0.72198944232865581</v>
      </c>
      <c r="P253" s="12">
        <f t="shared" si="83"/>
        <v>0.60260855898113352</v>
      </c>
      <c r="Q253" s="12">
        <f t="shared" si="83"/>
        <v>0.51938666954561419</v>
      </c>
      <c r="R253" s="12">
        <f t="shared" si="83"/>
        <v>0.45790157418620508</v>
      </c>
      <c r="S253" s="12">
        <f t="shared" si="83"/>
        <v>0.41048893804147557</v>
      </c>
      <c r="T253" s="12">
        <f t="shared" si="83"/>
        <v>0.37269919333335788</v>
      </c>
      <c r="U253" s="12">
        <f t="shared" si="83"/>
        <v>0.34177206726943987</v>
      </c>
      <c r="V253" s="12">
        <f t="shared" si="83"/>
        <v>0.31590449583968977</v>
      </c>
      <c r="W253" s="12">
        <f t="shared" si="83"/>
        <v>0.29386891899095385</v>
      </c>
      <c r="X253" s="12">
        <f t="shared" si="83"/>
        <v>0.2748007669257429</v>
      </c>
      <c r="Y253" s="12">
        <f t="shared" si="83"/>
        <v>0.25807366362083939</v>
      </c>
      <c r="Z253" s="12">
        <f t="shared" si="83"/>
        <v>0.24322282603718209</v>
      </c>
      <c r="AA253" s="133">
        <f>B42</f>
        <v>9.5790107164939658E-2</v>
      </c>
      <c r="AD253">
        <f>(AA253-L253)/15</f>
        <v>-0.2108291529728164</v>
      </c>
    </row>
    <row r="254" spans="1:30" x14ac:dyDescent="0.25">
      <c r="A254" s="10"/>
      <c r="B254" s="18"/>
      <c r="C254" s="18"/>
      <c r="D254" s="18"/>
      <c r="E254" s="18"/>
      <c r="F254" s="18"/>
      <c r="G254" s="18"/>
      <c r="H254" s="10"/>
      <c r="I254" s="10"/>
      <c r="J254" s="10"/>
      <c r="K254" s="10"/>
      <c r="L254" s="30"/>
      <c r="M254" s="131"/>
      <c r="N254" s="131"/>
      <c r="O254" s="131"/>
      <c r="P254" s="131"/>
      <c r="Q254" s="131"/>
      <c r="R254" s="131"/>
      <c r="S254" s="131"/>
      <c r="T254" s="131"/>
      <c r="U254" s="131"/>
      <c r="V254" s="131"/>
      <c r="W254" s="131"/>
      <c r="X254" s="131"/>
      <c r="Y254" s="131"/>
      <c r="Z254" s="131"/>
      <c r="AA254" s="131"/>
    </row>
    <row r="255" spans="1:30" x14ac:dyDescent="0.25">
      <c r="A255" s="10" t="s">
        <v>31</v>
      </c>
      <c r="B255" s="18"/>
      <c r="C255" s="22"/>
      <c r="D255" s="54">
        <f t="shared" ref="D255:I255" si="84">D241+D245-D246-D248-D247</f>
        <v>25970.111214953271</v>
      </c>
      <c r="E255" s="54">
        <f>IF(ISERROR(E241+E245-E246-E248-E247), E241+E245-E246-E247, E241+E245-E246-E248-E247)</f>
        <v>23390.910280373835</v>
      </c>
      <c r="F255" s="54">
        <f t="shared" si="84"/>
        <v>22381.108411214955</v>
      </c>
      <c r="G255" s="54">
        <f t="shared" si="84"/>
        <v>20676.368224299065</v>
      </c>
      <c r="H255" s="54">
        <f t="shared" si="84"/>
        <v>22115.407094275022</v>
      </c>
      <c r="I255" s="54">
        <f t="shared" si="84"/>
        <v>24791.032306555517</v>
      </c>
      <c r="J255" s="54">
        <f t="shared" ref="J255:L255" si="85">J241+J245-J246-J248-J247</f>
        <v>26428.212874753212</v>
      </c>
      <c r="K255" s="54">
        <f t="shared" si="85"/>
        <v>29034.954779723179</v>
      </c>
      <c r="L255" s="54">
        <f t="shared" si="85"/>
        <v>31430.100501754328</v>
      </c>
      <c r="M255" s="136">
        <f t="shared" ref="M255:AA255" si="86">M241-M250</f>
        <v>32289.257118213387</v>
      </c>
      <c r="N255" s="136">
        <f t="shared" si="86"/>
        <v>33175.912359131507</v>
      </c>
      <c r="O255" s="136">
        <f t="shared" si="86"/>
        <v>34089.293644107223</v>
      </c>
      <c r="P255" s="136">
        <f t="shared" si="86"/>
        <v>35028.5402194286</v>
      </c>
      <c r="Q255" s="136">
        <f t="shared" si="86"/>
        <v>35992.702090437131</v>
      </c>
      <c r="R255" s="136">
        <f t="shared" si="86"/>
        <v>36980.739229903869</v>
      </c>
      <c r="S255" s="136">
        <f t="shared" si="86"/>
        <v>37991.521076850942</v>
      </c>
      <c r="T255" s="136">
        <f t="shared" si="86"/>
        <v>39023.826339376676</v>
      </c>
      <c r="U255" s="136">
        <f t="shared" si="86"/>
        <v>40076.343114055329</v>
      </c>
      <c r="V255" s="136">
        <f t="shared" si="86"/>
        <v>41147.669333384183</v>
      </c>
      <c r="W255" s="136">
        <f t="shared" si="86"/>
        <v>42236.313551545136</v>
      </c>
      <c r="X255" s="136">
        <f t="shared" si="86"/>
        <v>43340.696077437344</v>
      </c>
      <c r="Y255" s="136">
        <f t="shared" si="86"/>
        <v>44459.150462527905</v>
      </c>
      <c r="Z255" s="136">
        <f t="shared" si="86"/>
        <v>45589.925349562422</v>
      </c>
      <c r="AA255" s="136">
        <f t="shared" si="86"/>
        <v>46731.186686584835</v>
      </c>
      <c r="AB255" s="22">
        <f>(AA255*(1+B65))/(B42-B65)</f>
        <v>731616.41409870062</v>
      </c>
    </row>
    <row r="256" spans="1:30" x14ac:dyDescent="0.25">
      <c r="A256" s="10" t="s">
        <v>34</v>
      </c>
      <c r="B256" s="18"/>
      <c r="C256" s="18"/>
      <c r="D256" s="16"/>
      <c r="E256" s="16">
        <f>IF(ISERROR(E255/D255-1), 0, E255/D255-1)</f>
        <v>-9.9314204441849463E-2</v>
      </c>
      <c r="F256" s="16">
        <f t="shared" ref="F256:L256" si="87">F255/E255-1</f>
        <v>-4.3170695670025072E-2</v>
      </c>
      <c r="G256" s="16">
        <f t="shared" si="87"/>
        <v>-7.6168711378997722E-2</v>
      </c>
      <c r="H256" s="16">
        <f t="shared" si="87"/>
        <v>6.9598241546345863E-2</v>
      </c>
      <c r="I256" s="16">
        <f>I255/H255-1</f>
        <v>0.12098466923419782</v>
      </c>
      <c r="J256" s="16">
        <f t="shared" si="87"/>
        <v>6.603922531151607E-2</v>
      </c>
      <c r="K256" s="16">
        <f t="shared" si="87"/>
        <v>9.8634815654151886E-2</v>
      </c>
      <c r="L256" s="16">
        <f t="shared" si="87"/>
        <v>8.2491801354683814E-2</v>
      </c>
      <c r="M256" s="16">
        <f>M255/L255-1</f>
        <v>2.733547149844795E-2</v>
      </c>
      <c r="N256" s="16">
        <f t="shared" ref="N256:AA256" si="88">N255/M255-1</f>
        <v>2.7459759686387697E-2</v>
      </c>
      <c r="O256" s="16">
        <f t="shared" si="88"/>
        <v>2.7531459424184002E-2</v>
      </c>
      <c r="P256" s="16">
        <f t="shared" si="88"/>
        <v>2.75525384927926E-2</v>
      </c>
      <c r="Q256" s="16">
        <f t="shared" si="88"/>
        <v>2.752503715452459E-2</v>
      </c>
      <c r="R256" s="16">
        <f t="shared" si="88"/>
        <v>2.7451040963363704E-2</v>
      </c>
      <c r="S256" s="16">
        <f t="shared" si="88"/>
        <v>2.7332656620604245E-2</v>
      </c>
      <c r="T256" s="16">
        <f t="shared" si="88"/>
        <v>2.7171990835469284E-2</v>
      </c>
      <c r="U256" s="16">
        <f t="shared" si="88"/>
        <v>2.6971132085441329E-2</v>
      </c>
      <c r="V256" s="16">
        <f t="shared" si="88"/>
        <v>2.6732135122206957E-2</v>
      </c>
      <c r="W256" s="16">
        <f t="shared" si="88"/>
        <v>2.6457008034661778E-2</v>
      </c>
      <c r="X256" s="16">
        <f t="shared" si="88"/>
        <v>2.6147701658299827E-2</v>
      </c>
      <c r="Y256" s="16">
        <f t="shared" si="88"/>
        <v>2.5806101108579504E-2</v>
      </c>
      <c r="Z256" s="16">
        <f t="shared" si="88"/>
        <v>2.5434019212480896E-2</v>
      </c>
      <c r="AA256" s="16">
        <f t="shared" si="88"/>
        <v>2.5033191615729811E-2</v>
      </c>
    </row>
    <row r="257" spans="1:30" x14ac:dyDescent="0.25">
      <c r="A257" s="10" t="s">
        <v>78</v>
      </c>
      <c r="B257" s="18"/>
      <c r="C257" s="18"/>
      <c r="D257" s="18"/>
      <c r="E257" s="18"/>
      <c r="F257" s="18"/>
      <c r="G257" s="18"/>
      <c r="H257" s="54">
        <f>H255/(1+$B$42)</f>
        <v>20182.15619001403</v>
      </c>
      <c r="I257" s="54">
        <f>I255/(1+$B$42)^2</f>
        <v>20646.187196952327</v>
      </c>
      <c r="J257" s="54">
        <f>J255/(1+$B$42)^3</f>
        <v>20085.639814744813</v>
      </c>
      <c r="K257" s="54">
        <f>K255/(1+$B$42)^4</f>
        <v>20137.782820707969</v>
      </c>
      <c r="L257" s="54">
        <f>L255/(1+$B$42)^5</f>
        <v>19893.394417728909</v>
      </c>
      <c r="M257" s="46">
        <f t="shared" ref="M257:AA257" si="89">M255/((1+$B$42)^M239)</f>
        <v>18650.642673456707</v>
      </c>
      <c r="N257" s="46">
        <f t="shared" si="89"/>
        <v>17487.641760925395</v>
      </c>
      <c r="O257" s="46">
        <f t="shared" si="89"/>
        <v>16398.30652147533</v>
      </c>
      <c r="P257" s="46">
        <f t="shared" si="89"/>
        <v>15377.143289530166</v>
      </c>
      <c r="Q257" s="46">
        <f t="shared" si="89"/>
        <v>14419.18450129486</v>
      </c>
      <c r="R257" s="46">
        <f t="shared" si="89"/>
        <v>13519.93053124747</v>
      </c>
      <c r="S257" s="46">
        <f t="shared" si="89"/>
        <v>12675.29799655494</v>
      </c>
      <c r="T257" s="46">
        <f t="shared" si="89"/>
        <v>11881.573845596355</v>
      </c>
      <c r="U257" s="46">
        <f t="shared" si="89"/>
        <v>11135.374615434628</v>
      </c>
      <c r="V257" s="46">
        <f t="shared" si="89"/>
        <v>10433.610305052611</v>
      </c>
      <c r="W257" s="46">
        <f t="shared" si="89"/>
        <v>9773.4523671072802</v>
      </c>
      <c r="X257" s="46">
        <f t="shared" si="89"/>
        <v>9152.3053714377329</v>
      </c>
      <c r="Y257" s="46">
        <f t="shared" si="89"/>
        <v>8567.7819391159046</v>
      </c>
      <c r="Z257" s="46">
        <f t="shared" si="89"/>
        <v>8017.6805869276659</v>
      </c>
      <c r="AA257" s="46">
        <f t="shared" si="89"/>
        <v>7499.966159246319</v>
      </c>
      <c r="AB257" s="47">
        <f>AB255/((1+$B$42)^AA239)</f>
        <v>117418.33957887876</v>
      </c>
      <c r="AD257" s="68">
        <f>SUM(H257:AB257)</f>
        <v>403353.39248343016</v>
      </c>
    </row>
    <row r="258" spans="1:30" x14ac:dyDescent="0.25">
      <c r="A258" s="10"/>
      <c r="B258" s="18"/>
      <c r="C258" s="18"/>
      <c r="D258" s="18"/>
      <c r="E258" s="18"/>
      <c r="F258" s="18"/>
      <c r="G258" s="18"/>
      <c r="H258" s="10"/>
      <c r="I258" s="10"/>
      <c r="J258" s="10"/>
      <c r="K258" s="10"/>
      <c r="L258" s="10"/>
      <c r="M258" s="1"/>
      <c r="N258" s="1"/>
      <c r="O258" s="1"/>
      <c r="P258" s="1"/>
      <c r="Q258" s="1"/>
      <c r="R258" s="1"/>
      <c r="S258" s="1"/>
      <c r="T258" s="1"/>
      <c r="U258" s="1"/>
      <c r="V258" s="1"/>
      <c r="W258" s="1"/>
      <c r="X258" s="1"/>
      <c r="Y258" s="1"/>
      <c r="Z258" s="1"/>
      <c r="AA258" s="1"/>
    </row>
    <row r="259" spans="1:30" x14ac:dyDescent="0.25">
      <c r="A259" s="10" t="s">
        <v>240</v>
      </c>
      <c r="B259" s="18"/>
      <c r="C259" s="18"/>
      <c r="D259" s="10"/>
      <c r="E259" s="10"/>
      <c r="F259" s="10"/>
      <c r="G259" s="10"/>
      <c r="H259" s="44">
        <f>H241*(1+D468)</f>
        <v>24172.66053903256</v>
      </c>
      <c r="I259" s="44">
        <f>I241*(1+E468)</f>
        <v>27083.600126909569</v>
      </c>
      <c r="J259" s="44">
        <f>J241*(1+F468)</f>
        <v>30607.849180050289</v>
      </c>
      <c r="K259" s="44">
        <f>K241*(1+G468)</f>
        <v>34062.025472230031</v>
      </c>
      <c r="L259" s="44">
        <f>L241*(1+H468)</f>
        <v>37374.858893429919</v>
      </c>
      <c r="AA259" s="66">
        <f>(AA255/L255)^(1/15)-1</f>
        <v>2.6795766324718251E-2</v>
      </c>
    </row>
    <row r="260" spans="1:30" x14ac:dyDescent="0.25">
      <c r="A260" s="10" t="s">
        <v>241</v>
      </c>
      <c r="B260" s="18"/>
      <c r="C260" s="18"/>
      <c r="D260" s="10"/>
      <c r="E260" s="10"/>
      <c r="F260" s="10"/>
      <c r="G260" s="10"/>
      <c r="H260" s="44">
        <f>H241*(1-D468)</f>
        <v>22628.33133862427</v>
      </c>
      <c r="I260" s="44">
        <f>I241*(1-E468)</f>
        <v>23730.119451482551</v>
      </c>
      <c r="J260" s="44">
        <f>J241*(1-F468)</f>
        <v>25093.759576714885</v>
      </c>
      <c r="K260" s="44">
        <f>K241*(1-G468)</f>
        <v>26118.701968982117</v>
      </c>
      <c r="L260" s="44">
        <f>L241*(1-H468)</f>
        <v>26788.598177721717</v>
      </c>
      <c r="M260" s="1"/>
      <c r="N260" s="1"/>
    </row>
    <row r="261" spans="1:30" x14ac:dyDescent="0.25">
      <c r="A261" s="10"/>
      <c r="B261" s="18"/>
      <c r="C261" s="18"/>
      <c r="D261" s="10"/>
      <c r="E261" s="10"/>
      <c r="F261" s="10"/>
      <c r="G261" s="10"/>
      <c r="H261" s="10"/>
      <c r="I261" s="10"/>
      <c r="J261" s="10"/>
      <c r="K261" s="10"/>
      <c r="L261" s="10"/>
      <c r="M261" s="1"/>
      <c r="N261" s="1"/>
    </row>
    <row r="262" spans="1:30" s="96" customFormat="1" ht="20.100000000000001" customHeight="1" x14ac:dyDescent="0.4">
      <c r="A262" s="93" t="s">
        <v>203</v>
      </c>
      <c r="B262" s="94"/>
      <c r="C262" s="94"/>
      <c r="D262" s="94"/>
      <c r="E262" s="94"/>
      <c r="F262" s="94"/>
      <c r="G262" s="94"/>
      <c r="H262" s="95"/>
      <c r="I262" s="94"/>
      <c r="J262" s="94"/>
      <c r="K262" s="94"/>
      <c r="L262" s="94"/>
      <c r="M262" s="94"/>
      <c r="N262" s="94"/>
    </row>
    <row r="263" spans="1:30" x14ac:dyDescent="0.25">
      <c r="A263" s="1" t="str">
        <f>A239</f>
        <v>In Millions of USD (except for per share items)</v>
      </c>
      <c r="B263" s="1"/>
      <c r="C263" s="1"/>
      <c r="D263" s="166">
        <f>E263-1</f>
        <v>42181</v>
      </c>
      <c r="E263" s="166">
        <f>F263-1</f>
        <v>42182</v>
      </c>
      <c r="F263" s="166">
        <f>G263-1</f>
        <v>42183</v>
      </c>
      <c r="G263" s="166">
        <f>H264-1</f>
        <v>42184</v>
      </c>
      <c r="H263" s="2" t="str">
        <f t="shared" ref="H263:L264" si="90">H239</f>
        <v>Year 1</v>
      </c>
      <c r="I263" s="2" t="str">
        <f t="shared" si="90"/>
        <v>Year 2</v>
      </c>
      <c r="J263" s="2" t="str">
        <f t="shared" si="90"/>
        <v>Year 3</v>
      </c>
      <c r="K263" s="2" t="str">
        <f t="shared" si="90"/>
        <v>Year 4</v>
      </c>
      <c r="L263" s="2" t="str">
        <f t="shared" si="90"/>
        <v>Year 5</v>
      </c>
      <c r="M263" s="2" t="s">
        <v>35</v>
      </c>
      <c r="N263" s="2" t="s">
        <v>9</v>
      </c>
    </row>
    <row r="264" spans="1:30" x14ac:dyDescent="0.25">
      <c r="A264" s="3" t="str">
        <f>A240</f>
        <v xml:space="preserve">Fiscal Year </v>
      </c>
      <c r="B264" s="36"/>
      <c r="C264" s="13"/>
      <c r="D264" s="145">
        <f>D240</f>
        <v>40724</v>
      </c>
      <c r="E264" s="145">
        <f t="shared" ref="E264:G264" si="91">E240</f>
        <v>41090</v>
      </c>
      <c r="F264" s="145">
        <f t="shared" si="91"/>
        <v>41455</v>
      </c>
      <c r="G264" s="145">
        <f t="shared" si="91"/>
        <v>41820</v>
      </c>
      <c r="H264" s="145">
        <f t="shared" si="90"/>
        <v>42185</v>
      </c>
      <c r="I264" s="145">
        <f t="shared" si="90"/>
        <v>42550</v>
      </c>
      <c r="J264" s="145">
        <f t="shared" si="90"/>
        <v>42915</v>
      </c>
      <c r="K264" s="145">
        <f t="shared" si="90"/>
        <v>43280</v>
      </c>
      <c r="L264" s="145">
        <f t="shared" si="90"/>
        <v>43645</v>
      </c>
      <c r="M264" s="30"/>
      <c r="N264" s="10"/>
    </row>
    <row r="265" spans="1:30" x14ac:dyDescent="0.25">
      <c r="A265" s="10" t="s">
        <v>24</v>
      </c>
      <c r="B265" s="36"/>
      <c r="C265" s="13"/>
      <c r="D265" s="100">
        <f>D167-D153</f>
        <v>23150</v>
      </c>
      <c r="E265" s="100">
        <f>E167-E153</f>
        <v>16978</v>
      </c>
      <c r="F265" s="100">
        <f>F167-F153</f>
        <v>21863</v>
      </c>
      <c r="G265" s="100">
        <f t="shared" ref="G265:L265" si="92">G167-G153</f>
        <v>22074</v>
      </c>
      <c r="H265" s="100">
        <f t="shared" si="92"/>
        <v>20524.989910791031</v>
      </c>
      <c r="I265" s="100">
        <f t="shared" si="92"/>
        <v>22438.280711158677</v>
      </c>
      <c r="J265" s="100">
        <f t="shared" si="92"/>
        <v>24786.360058845206</v>
      </c>
      <c r="K265" s="100">
        <f t="shared" si="92"/>
        <v>26927.178202323692</v>
      </c>
      <c r="L265" s="100">
        <f t="shared" si="92"/>
        <v>28816.839582586083</v>
      </c>
      <c r="M265" s="30"/>
      <c r="N265" s="10"/>
    </row>
    <row r="266" spans="1:30" x14ac:dyDescent="0.25">
      <c r="A266" s="10" t="s">
        <v>222</v>
      </c>
      <c r="B266" s="36"/>
      <c r="C266" s="13"/>
      <c r="D266" s="100">
        <f t="shared" ref="D266:L266" si="93">D104</f>
        <v>2766</v>
      </c>
      <c r="E266" s="100">
        <f t="shared" si="93"/>
        <v>2967</v>
      </c>
      <c r="F266" s="100">
        <f t="shared" si="93"/>
        <v>3755</v>
      </c>
      <c r="G266" s="100">
        <f t="shared" si="93"/>
        <v>5212</v>
      </c>
      <c r="H266" s="100">
        <f t="shared" si="93"/>
        <v>5616.9724000000006</v>
      </c>
      <c r="I266" s="100">
        <f t="shared" si="93"/>
        <v>5572.0366207999996</v>
      </c>
      <c r="J266" s="100">
        <f t="shared" si="93"/>
        <v>5973.2232574976006</v>
      </c>
      <c r="K266" s="100">
        <f t="shared" si="93"/>
        <v>6301.750536659968</v>
      </c>
      <c r="L266" s="100">
        <f t="shared" si="93"/>
        <v>6553.8205581263674</v>
      </c>
      <c r="M266" s="30"/>
      <c r="N266" s="10"/>
    </row>
    <row r="267" spans="1:30" x14ac:dyDescent="0.25">
      <c r="A267" s="169" t="s">
        <v>219</v>
      </c>
      <c r="B267" s="36"/>
      <c r="C267" s="13"/>
      <c r="D267" s="146">
        <f>IF(ISERROR(VLOOKUP(A267,Annual!$A$346:$E$398, 5,0)), 0, VLOOKUP(A267,Annual!$A$346:$E$398, 5,0))</f>
        <v>2</v>
      </c>
      <c r="E267" s="146">
        <f>IF(ISERROR(VLOOKUP(A267,Annual!$A$346:$E$398, 4,0)), 0, VLOOKUP(A267,Annual!$A$346:$E$398, 4,0))</f>
        <v>954</v>
      </c>
      <c r="F267" s="146">
        <f>IF(ISERROR(VLOOKUP(A267,Annual!$A$346:$E$398, 3,0)), 0, VLOOKUP(A267,Annual!$A$346:$E$398, 3,0))</f>
        <v>-19</v>
      </c>
      <c r="G267" s="146">
        <f>IF(ISERROR(VLOOKUP(A267,Annual!$A$346:$E$398, 2,0)), 0, VLOOKUP(A267,Annual!$A$346:$E$398, 2,0))</f>
        <v>-331</v>
      </c>
      <c r="H267" s="101">
        <v>0</v>
      </c>
      <c r="I267" s="101">
        <v>0</v>
      </c>
      <c r="J267" s="101">
        <v>0</v>
      </c>
      <c r="K267" s="101">
        <v>0</v>
      </c>
      <c r="L267" s="101">
        <v>0</v>
      </c>
      <c r="M267" s="30"/>
      <c r="N267" s="10"/>
    </row>
    <row r="268" spans="1:30" x14ac:dyDescent="0.25">
      <c r="A268" t="s">
        <v>365</v>
      </c>
      <c r="B268" s="36"/>
      <c r="C268" s="13"/>
      <c r="D268" s="146">
        <f>VLOOKUP(A268,Annual!$A$346:$E$398, 5,0)</f>
        <v>-362</v>
      </c>
      <c r="E268" s="146">
        <f>VLOOKUP(A268,Annual!$A$346:$E$398, 4,0)</f>
        <v>-200</v>
      </c>
      <c r="F268" s="146">
        <f>VLOOKUP(A268,Annual!$A$346:$E$398, 3,0)</f>
        <v>80</v>
      </c>
      <c r="G268" s="146">
        <f>VLOOKUP(A268,Annual!$A$346:$E$398, 2,0)</f>
        <v>-109</v>
      </c>
      <c r="H268" s="100">
        <f t="shared" ref="H268:L268" si="94">H244</f>
        <v>3102.4350000000004</v>
      </c>
      <c r="I268" s="100">
        <f t="shared" si="94"/>
        <v>3195.5080500000004</v>
      </c>
      <c r="J268" s="100">
        <f t="shared" si="94"/>
        <v>3291.3732915000005</v>
      </c>
      <c r="K268" s="100">
        <f t="shared" si="94"/>
        <v>3390.1144902450005</v>
      </c>
      <c r="L268" s="100">
        <f t="shared" si="94"/>
        <v>3491.8179249523505</v>
      </c>
      <c r="M268" s="30"/>
      <c r="N268" s="10"/>
    </row>
    <row r="269" spans="1:30" x14ac:dyDescent="0.25">
      <c r="A269" s="71" t="s">
        <v>97</v>
      </c>
      <c r="B269" s="126"/>
      <c r="C269" s="72"/>
      <c r="D269" s="127">
        <f>SUM(D270:D276)</f>
        <v>-3003</v>
      </c>
      <c r="E269" s="127">
        <f t="shared" ref="E269:G269" si="95">SUM(E270:E276)</f>
        <v>-174</v>
      </c>
      <c r="F269" s="127">
        <f t="shared" si="95"/>
        <v>-1375</v>
      </c>
      <c r="G269" s="127">
        <f t="shared" si="95"/>
        <v>624</v>
      </c>
      <c r="H269" s="127">
        <f>-H248</f>
        <v>-958.51524455339677</v>
      </c>
      <c r="I269" s="127">
        <f>-I248</f>
        <v>23.141466559460241</v>
      </c>
      <c r="J269" s="127">
        <f>-J248</f>
        <v>-965.94169460111516</v>
      </c>
      <c r="K269" s="127">
        <f>-K248</f>
        <v>-814.5261666204824</v>
      </c>
      <c r="L269" s="127">
        <f>-L248</f>
        <v>-651.62803382148741</v>
      </c>
      <c r="M269" s="30"/>
      <c r="N269" s="10"/>
    </row>
    <row r="270" spans="1:30" x14ac:dyDescent="0.25">
      <c r="A270" s="169" t="s">
        <v>366</v>
      </c>
      <c r="B270" s="36"/>
      <c r="C270" s="92"/>
      <c r="D270" s="146">
        <f>IF(ISERROR(VLOOKUP(A270,Annual!$A$346:$E$398, 5,0)), 0, VLOOKUP(A270,Annual!$A$346:$E$398, 5,0))</f>
        <v>-1451</v>
      </c>
      <c r="E270" s="146">
        <f>IF(ISERROR(VLOOKUP(A270,Annual!$A$346:$E$398, 4,0)), 0, VLOOKUP(A270,Annual!$A$346:$E$398, 4,0))</f>
        <v>-1156</v>
      </c>
      <c r="F270" s="146">
        <f>IF(ISERROR(VLOOKUP(A270,Annual!$A$346:$E$398, 3,0)), 0, VLOOKUP(A270,Annual!$A$346:$E$398, 3,0))</f>
        <v>-1807</v>
      </c>
      <c r="G270" s="146">
        <f>IF(ISERROR(VLOOKUP(A270,Annual!$A$346:$E$398, 2,0)), 0, VLOOKUP(A270,Annual!$A$346:$E$398, 2,0))</f>
        <v>-1120</v>
      </c>
      <c r="H270" s="100">
        <f>G414-H414</f>
        <v>-1466.4122671458172</v>
      </c>
      <c r="I270" s="100">
        <f t="shared" ref="I270:L270" si="96">H414-I414</f>
        <v>219.82257872851551</v>
      </c>
      <c r="J270" s="100">
        <f t="shared" si="96"/>
        <v>-1441.4579487721167</v>
      </c>
      <c r="K270" s="100">
        <f t="shared" si="96"/>
        <v>-1164.2475632678288</v>
      </c>
      <c r="L270" s="100">
        <f t="shared" si="96"/>
        <v>-874.99614896958883</v>
      </c>
      <c r="M270" s="30"/>
      <c r="N270" s="10"/>
    </row>
    <row r="271" spans="1:30" x14ac:dyDescent="0.25">
      <c r="A271" t="s">
        <v>367</v>
      </c>
      <c r="B271" s="36"/>
      <c r="C271" s="13"/>
      <c r="D271" s="146">
        <f>IF(ISERROR(VLOOKUP(A271,Annual!$A$346:$E$398,5,0)),0,VLOOKUP(A271,Annual!$A$346:$E$398,5,0))</f>
        <v>-561</v>
      </c>
      <c r="E271" s="146">
        <f>IF(ISERROR(VLOOKUP(A271,Annual!$A$346:$E$398, 4,0)), 0, VLOOKUP(A271,Annual!$A$346:$E$398, 4,0))</f>
        <v>184</v>
      </c>
      <c r="F271" s="146">
        <f>IF(ISERROR(VLOOKUP(A271,Annual!$A$346:$E$398, 3,0)), 0, VLOOKUP(A271,Annual!$A$346:$E$398, 3,0))</f>
        <v>-802</v>
      </c>
      <c r="G271" s="146">
        <f>IF(ISERROR(VLOOKUP(A271,Annual!$A$346:$E$398, 2,0)), 0, VLOOKUP(A271,Annual!$A$346:$E$398, 2,0))</f>
        <v>-161</v>
      </c>
      <c r="H271" s="100">
        <f>G326-H326</f>
        <v>-371.43759424671498</v>
      </c>
      <c r="I271" s="100">
        <f t="shared" ref="I271:L271" si="97">H326-I326</f>
        <v>176.15405650739376</v>
      </c>
      <c r="J271" s="100">
        <f t="shared" si="97"/>
        <v>-123.12712826102825</v>
      </c>
      <c r="K271" s="100">
        <f t="shared" si="97"/>
        <v>-78.002561893057646</v>
      </c>
      <c r="L271" s="100">
        <f t="shared" si="97"/>
        <v>-34.239423562603406</v>
      </c>
      <c r="M271" s="30"/>
      <c r="N271" s="10"/>
    </row>
    <row r="272" spans="1:30" x14ac:dyDescent="0.25">
      <c r="A272" s="169" t="s">
        <v>430</v>
      </c>
      <c r="B272" s="36"/>
      <c r="C272" s="13"/>
      <c r="D272" s="146">
        <f>IF(ISERROR(VLOOKUP(A272,Annual!$A$346:$E$398,5,0)),0,VLOOKUP(A272,Annual!$A$346:$E$398,5,0))</f>
        <v>0</v>
      </c>
      <c r="E272" s="146">
        <f>IF(ISERROR(VLOOKUP(A272,Annual!$A$346:$E$398,4,0)),0,VLOOKUP(A272,Annual!$A$346:$E$398,4,0))</f>
        <v>0</v>
      </c>
      <c r="F272" s="146">
        <f>IF(ISERROR(VLOOKUP(A272,Annual!$A$346:$E$398,3,0)),0,VLOOKUP(A272,Annual!$A$346:$E$398,3,0))</f>
        <v>0</v>
      </c>
      <c r="G272" s="146">
        <f>IF(ISERROR(VLOOKUP(A272,Annual!$A$346:$E$398,2,0)),0,VLOOKUP(A272,Annual!$A$346:$E$398,2,0))</f>
        <v>0</v>
      </c>
      <c r="H272" s="100">
        <f>G330-H330</f>
        <v>0</v>
      </c>
      <c r="I272" s="100">
        <f t="shared" ref="I272:L272" si="98">H330-I330</f>
        <v>0</v>
      </c>
      <c r="J272" s="100">
        <f t="shared" si="98"/>
        <v>0</v>
      </c>
      <c r="K272" s="100">
        <f t="shared" si="98"/>
        <v>0</v>
      </c>
      <c r="L272" s="100">
        <f t="shared" si="98"/>
        <v>0</v>
      </c>
      <c r="M272" s="30"/>
      <c r="N272" s="10"/>
    </row>
    <row r="273" spans="1:14" x14ac:dyDescent="0.25">
      <c r="A273" s="169" t="s">
        <v>368</v>
      </c>
      <c r="B273" s="36"/>
      <c r="C273" s="13"/>
      <c r="D273" s="146">
        <f>IF(ISERROR(VLOOKUP(A273,Annual!$A$346:$E$398, 5,0)), 0, VLOOKUP(A273,Annual!$A$346:$E$398, 5,0))</f>
        <v>-1259</v>
      </c>
      <c r="E273" s="146">
        <f>IF(ISERROR(VLOOKUP(A273,Annual!$A$346:$E$398, 4,0)), 0, VLOOKUP(A273,Annual!$A$346:$E$398, 4,0))</f>
        <v>493</v>
      </c>
      <c r="F273" s="146">
        <f>IF(ISERROR(VLOOKUP(A273,Annual!$A$346:$E$398, 3,0)), 0, VLOOKUP(A273,Annual!$A$346:$E$398, 3,0))</f>
        <v>-129</v>
      </c>
      <c r="G273" s="146">
        <f>IF(ISERROR(VLOOKUP(A273,Annual!$A$346:$E$398, 2,0)), 0, VLOOKUP(A273,Annual!$A$346:$E$398, 2,0))</f>
        <v>-29</v>
      </c>
      <c r="H273" s="100">
        <f>G331-H331</f>
        <v>0</v>
      </c>
      <c r="I273" s="100">
        <f t="shared" ref="I273:L273" si="99">H331-I331</f>
        <v>0</v>
      </c>
      <c r="J273" s="100">
        <f t="shared" si="99"/>
        <v>0</v>
      </c>
      <c r="K273" s="100">
        <f t="shared" si="99"/>
        <v>0</v>
      </c>
      <c r="L273" s="100">
        <f t="shared" si="99"/>
        <v>0</v>
      </c>
      <c r="M273" s="30"/>
      <c r="N273" s="10"/>
    </row>
    <row r="274" spans="1:14" x14ac:dyDescent="0.25">
      <c r="A274" s="169" t="s">
        <v>369</v>
      </c>
      <c r="B274" s="36"/>
      <c r="C274" s="13"/>
      <c r="D274" s="146">
        <f>IF(ISERROR(VLOOKUP(A274,Annual!$A$346:$E$398, 5,0)), 0, VLOOKUP(A274,Annual!$A$346:$E$398, 5,0))</f>
        <v>58</v>
      </c>
      <c r="E274" s="146">
        <f>IF(ISERROR(VLOOKUP(A274,Annual!$A$346:$E$398, 4,0)), 0, VLOOKUP(A274,Annual!$A$346:$E$398, 4,0))</f>
        <v>-31</v>
      </c>
      <c r="F274" s="146">
        <f>IF(ISERROR(VLOOKUP(A274,Annual!$A$346:$E$398, 3,0)), 0, VLOOKUP(A274,Annual!$A$346:$E$398, 3,0))</f>
        <v>537</v>
      </c>
      <c r="G274" s="146">
        <f>IF(ISERROR(VLOOKUP(A274,Annual!$A$346:$E$398, 2,0)), 0, VLOOKUP(A274,Annual!$A$346:$E$398, 2,0))</f>
        <v>473</v>
      </c>
      <c r="H274" s="100">
        <f>H356-G356</f>
        <v>1346.3959932757771</v>
      </c>
      <c r="I274" s="100">
        <f t="shared" ref="I274:L274" si="100">I356-H356</f>
        <v>-582.58411023917142</v>
      </c>
      <c r="J274" s="100">
        <f t="shared" si="100"/>
        <v>592.98024708920457</v>
      </c>
      <c r="K274" s="100">
        <f t="shared" si="100"/>
        <v>361.14586970866185</v>
      </c>
      <c r="L274" s="100">
        <f t="shared" si="100"/>
        <v>231.04761132835847</v>
      </c>
      <c r="M274" s="30"/>
      <c r="N274" s="10"/>
    </row>
    <row r="275" spans="1:14" x14ac:dyDescent="0.25">
      <c r="A275" s="169" t="s">
        <v>432</v>
      </c>
      <c r="B275" s="36"/>
      <c r="C275" s="13"/>
      <c r="D275" s="146">
        <f>IF(ISERROR(VLOOKUP(A275,Annual!$A$346:$E$398,5,0)),0,VLOOKUP(A275,Annual!$A$346:$E$398,5,0))</f>
        <v>-1146</v>
      </c>
      <c r="E275" s="146">
        <f>IF(ISERROR(VLOOKUP(A275,Annual!$A$346:$E$398,4,0)),0,VLOOKUP(A275,Annual!$A$346:$E$398,4,0))</f>
        <v>410</v>
      </c>
      <c r="F275" s="146">
        <f>IF(ISERROR(VLOOKUP(A275,Annual!$A$346:$E$398, 3,0)), 0, VLOOKUP(A275,Annual!$A$346:$E$398, 3,0))</f>
        <v>146</v>
      </c>
      <c r="G275" s="146">
        <f>IF(ISERROR(VLOOKUP(A275,Annual!$A$346:$E$398,2,0)),0,VLOOKUP(A275,Annual!$A$346:$E$398,2,0))</f>
        <v>1075</v>
      </c>
      <c r="H275" s="100">
        <f>H358-G358</f>
        <v>-467.06137643664078</v>
      </c>
      <c r="I275" s="100">
        <f t="shared" ref="I275:L275" si="101">I358-H358</f>
        <v>209.74894156272057</v>
      </c>
      <c r="J275" s="100">
        <f t="shared" si="101"/>
        <v>5.6631353428256261</v>
      </c>
      <c r="K275" s="100">
        <f t="shared" si="101"/>
        <v>66.578088831742207</v>
      </c>
      <c r="L275" s="100">
        <f t="shared" si="101"/>
        <v>26.55992738234454</v>
      </c>
      <c r="M275" s="30"/>
      <c r="N275" s="10"/>
    </row>
    <row r="276" spans="1:14" x14ac:dyDescent="0.25">
      <c r="A276" s="169" t="s">
        <v>422</v>
      </c>
      <c r="B276" s="36"/>
      <c r="C276" s="13"/>
      <c r="D276" s="146">
        <f>IF(ISERROR(VLOOKUP(A276,Annual!$A$346:$E$398, 5,0)), 0, VLOOKUP(A276,Annual!$A$346:$E$398, 5,0))</f>
        <v>1356</v>
      </c>
      <c r="E276" s="146">
        <f>IF(ISERROR(VLOOKUP(A276,Annual!$A$346:$E$398, 4,0)), 0, VLOOKUP(A276,Annual!$A$346:$E$398, 4,0))</f>
        <v>-74</v>
      </c>
      <c r="F276" s="146">
        <f>IF(ISERROR(VLOOKUP(A276,Annual!$A$346:$E$398, 3,0)), 0, VLOOKUP(A276,Annual!$A$346:$E$398, 3,0))</f>
        <v>680</v>
      </c>
      <c r="G276" s="146">
        <f>IF(ISERROR(VLOOKUP(A276,Annual!$A$346:$E$398, 2,0)), 0, VLOOKUP(A276,Annual!$A$346:$E$398, 2,0))</f>
        <v>386</v>
      </c>
      <c r="H276" s="100">
        <f>H361-G361</f>
        <v>0</v>
      </c>
      <c r="I276" s="100">
        <f t="shared" ref="I276:L276" si="102">I361-H361</f>
        <v>0</v>
      </c>
      <c r="J276" s="100">
        <f t="shared" si="102"/>
        <v>0</v>
      </c>
      <c r="K276" s="100">
        <f t="shared" si="102"/>
        <v>0</v>
      </c>
      <c r="L276" s="100">
        <f t="shared" si="102"/>
        <v>0</v>
      </c>
      <c r="M276" s="30"/>
      <c r="N276" s="10"/>
    </row>
    <row r="277" spans="1:14" x14ac:dyDescent="0.25">
      <c r="A277" s="169" t="s">
        <v>416</v>
      </c>
      <c r="B277" s="36"/>
      <c r="C277" s="13"/>
      <c r="D277" s="146">
        <f>SUM(D282:D283)</f>
        <v>4441</v>
      </c>
      <c r="E277" s="146">
        <f t="shared" ref="E277:G277" si="103">SUM(E282:E283)</f>
        <v>11101</v>
      </c>
      <c r="F277" s="146">
        <f t="shared" si="103"/>
        <v>4529</v>
      </c>
      <c r="G277" s="146">
        <f t="shared" si="103"/>
        <v>4761</v>
      </c>
      <c r="H277" s="100"/>
      <c r="I277" s="100"/>
      <c r="J277" s="100"/>
      <c r="K277" s="100"/>
      <c r="L277" s="100"/>
      <c r="M277" s="30"/>
      <c r="N277" s="10"/>
    </row>
    <row r="278" spans="1:14" x14ac:dyDescent="0.25">
      <c r="A278" s="10" t="s">
        <v>61</v>
      </c>
      <c r="B278" s="36"/>
      <c r="C278" s="13"/>
      <c r="D278" s="100">
        <f>SUM(D265:D269)+D277</f>
        <v>26994</v>
      </c>
      <c r="E278" s="100">
        <f t="shared" ref="E278:G278" si="104">SUM(E265:E269)+E277</f>
        <v>31626</v>
      </c>
      <c r="F278" s="100">
        <f t="shared" si="104"/>
        <v>28833</v>
      </c>
      <c r="G278" s="100">
        <f t="shared" si="104"/>
        <v>32231</v>
      </c>
      <c r="H278" s="100">
        <f>SUM(H265:H276)-H269</f>
        <v>28285.882066237631</v>
      </c>
      <c r="I278" s="100">
        <f t="shared" ref="I278:L278" si="105">SUM(I265:I276)-I269</f>
        <v>31228.966848518136</v>
      </c>
      <c r="J278" s="100">
        <f t="shared" si="105"/>
        <v>33085.014913241699</v>
      </c>
      <c r="K278" s="100">
        <f t="shared" si="105"/>
        <v>35804.517062608189</v>
      </c>
      <c r="L278" s="100">
        <f t="shared" si="105"/>
        <v>38210.850031843307</v>
      </c>
      <c r="M278" s="30"/>
      <c r="N278" s="10"/>
    </row>
    <row r="279" spans="1:14" x14ac:dyDescent="0.25">
      <c r="A279" s="106" t="s">
        <v>61</v>
      </c>
      <c r="B279" s="18"/>
      <c r="C279" s="18"/>
      <c r="D279" s="54">
        <f>D278</f>
        <v>26994</v>
      </c>
      <c r="E279" s="54">
        <f t="shared" ref="E279:G279" si="106">E278</f>
        <v>31626</v>
      </c>
      <c r="F279" s="54">
        <f t="shared" si="106"/>
        <v>28833</v>
      </c>
      <c r="G279" s="54">
        <f t="shared" si="106"/>
        <v>32231</v>
      </c>
      <c r="H279" s="47">
        <f>SUM(H265:H269)</f>
        <v>28285.882066237635</v>
      </c>
      <c r="I279" s="47">
        <f>SUM(I265:I269)</f>
        <v>31228.966848518139</v>
      </c>
      <c r="J279" s="47">
        <f>SUM(J265:J269)</f>
        <v>33085.014913241699</v>
      </c>
      <c r="K279" s="47">
        <f>SUM(K265:K269)</f>
        <v>35804.517062608182</v>
      </c>
      <c r="L279" s="47">
        <f>SUM(L265:L269)</f>
        <v>38210.850031843314</v>
      </c>
      <c r="M279" s="1" t="str">
        <f>IF(G279&gt;E279, "increased", "decreased")</f>
        <v>increased</v>
      </c>
      <c r="N279" s="1"/>
    </row>
    <row r="280" spans="1:14" x14ac:dyDescent="0.25">
      <c r="A280" s="30" t="s">
        <v>221</v>
      </c>
      <c r="B280" s="18"/>
      <c r="C280" s="18"/>
      <c r="D280" s="107">
        <f>D278-D279</f>
        <v>0</v>
      </c>
      <c r="E280" s="107">
        <f t="shared" ref="E280:G280" si="107">E278-E279</f>
        <v>0</v>
      </c>
      <c r="F280" s="107">
        <f t="shared" si="107"/>
        <v>0</v>
      </c>
      <c r="G280" s="107">
        <f t="shared" si="107"/>
        <v>0</v>
      </c>
      <c r="H280" s="54"/>
      <c r="I280" s="54"/>
      <c r="J280" s="54"/>
      <c r="K280" s="54"/>
      <c r="L280" s="54"/>
      <c r="M280" s="1"/>
      <c r="N280" s="1"/>
    </row>
    <row r="281" spans="1:14" x14ac:dyDescent="0.25">
      <c r="A281" s="10"/>
      <c r="B281" s="18"/>
      <c r="C281" s="18"/>
      <c r="D281" s="54"/>
      <c r="E281" s="54"/>
      <c r="F281" s="54"/>
      <c r="G281" s="54"/>
      <c r="H281" s="54"/>
      <c r="I281" s="54"/>
      <c r="J281" s="54"/>
      <c r="K281" s="54"/>
      <c r="L281" s="54"/>
      <c r="M281" s="1"/>
      <c r="N281" s="1"/>
    </row>
    <row r="282" spans="1:14" x14ac:dyDescent="0.25">
      <c r="A282" s="10" t="s">
        <v>371</v>
      </c>
      <c r="B282" s="18"/>
      <c r="C282" s="18"/>
      <c r="D282" s="54">
        <f>IF(ISERROR(VLOOKUP("Other Non Cash Items",Annual!$A$346:$E$398,5,0)),0,VLOOKUP("Other Non Cash Items",Annual!$A$346:$E$398,5,0))</f>
        <v>4441</v>
      </c>
      <c r="E282" s="54">
        <f>IF(ISERROR(VLOOKUP("Other Non Cash Items",Annual!$A$346:$E$398,4,0)),0,VLOOKUP("Other Non Cash Items",Annual!$A$346:$E$398,4,0))</f>
        <v>11101</v>
      </c>
      <c r="F282" s="54">
        <f>IF(ISERROR(VLOOKUP("Other Non Cash Items",Annual!$A$346:$E$398,3,0)),0,VLOOKUP("Other Non Cash Items",Annual!$A$346:$E$398,3,0))</f>
        <v>4529</v>
      </c>
      <c r="G282" s="54">
        <f>IF(ISERROR(VLOOKUP("Other Non Cash Items",Annual!$A$346:$E$398,2,0)),0,VLOOKUP("Other Non Cash Items",Annual!$A$346:$E$398,2,0))</f>
        <v>4761</v>
      </c>
      <c r="H282" s="54"/>
      <c r="I282" s="54"/>
      <c r="J282" s="54"/>
      <c r="K282" s="54"/>
      <c r="L282" s="54"/>
      <c r="M282" s="1"/>
      <c r="N282" s="1"/>
    </row>
    <row r="283" spans="1:14" x14ac:dyDescent="0.25">
      <c r="A283" s="10" t="s">
        <v>431</v>
      </c>
      <c r="B283" s="18"/>
      <c r="C283" s="18"/>
      <c r="D283" s="54">
        <f>IF(ISERROR(VLOOKUP("Net Cash from Discontinued Operations",Annual!$A$346:$E$398,5,0)),0,VLOOKUP("Net Cash from Discontinued Operations",Annual!$A$346:$E$398,5,0))</f>
        <v>0</v>
      </c>
      <c r="E283" s="54">
        <f>IF(ISERROR(VLOOKUP("Net Cash from Discontinued Operations",Annual!$A$346:$E$398,4,0)),0,VLOOKUP("Net Cash from Discontinued Operations",Annual!$A$346:$E$398,4,0))</f>
        <v>0</v>
      </c>
      <c r="F283" s="54">
        <f>IF(ISERROR(VLOOKUP("Net Cash from Discontinued Operations",Annual!$A$346:$E$398,3,0)),0,VLOOKUP("Net Cash from Discontinued Operations",Annual!$A$346:$E$398,3,0))</f>
        <v>0</v>
      </c>
      <c r="G283" s="54">
        <f>IF(ISERROR(VLOOKUP("Net Cash from Discontinued Operations",Annual!$A$346:$E$398,2,0)),0,VLOOKUP("Net Cash from Discontinued Operations",Annual!$A$346:$E$398,2,0))</f>
        <v>0</v>
      </c>
      <c r="H283" s="54"/>
      <c r="I283" s="54"/>
      <c r="J283" s="54"/>
      <c r="K283" s="54"/>
      <c r="L283" s="54"/>
      <c r="M283" s="1"/>
      <c r="N283" s="1"/>
    </row>
    <row r="284" spans="1:14" x14ac:dyDescent="0.25">
      <c r="A284" s="10"/>
      <c r="B284" s="18"/>
      <c r="C284" s="18"/>
      <c r="D284" s="54"/>
      <c r="E284" s="54"/>
      <c r="F284" s="54"/>
      <c r="G284" s="54"/>
      <c r="H284" s="54"/>
      <c r="I284" s="54"/>
      <c r="J284" s="54"/>
      <c r="K284" s="54"/>
      <c r="L284" s="54"/>
      <c r="M284" s="1"/>
      <c r="N284" s="1"/>
    </row>
    <row r="285" spans="1:14" x14ac:dyDescent="0.25">
      <c r="A285" s="10"/>
      <c r="B285" s="18"/>
      <c r="C285" s="18"/>
      <c r="D285" s="54"/>
      <c r="E285" s="54"/>
      <c r="F285" s="54"/>
      <c r="G285" s="54"/>
      <c r="H285" s="54"/>
      <c r="I285" s="54"/>
      <c r="J285" s="54"/>
      <c r="K285" s="54"/>
      <c r="L285" s="54"/>
      <c r="M285" s="1"/>
      <c r="N285" s="1"/>
    </row>
    <row r="286" spans="1:14" x14ac:dyDescent="0.25">
      <c r="A286" s="169" t="s">
        <v>407</v>
      </c>
      <c r="B286" s="18"/>
      <c r="C286" s="18"/>
      <c r="D286" s="54">
        <f t="shared" ref="D286:L286" si="108">-D197</f>
        <v>-2355</v>
      </c>
      <c r="E286" s="54">
        <f t="shared" si="108"/>
        <v>-2305</v>
      </c>
      <c r="F286" s="54">
        <f t="shared" si="108"/>
        <v>-4257</v>
      </c>
      <c r="G286" s="54">
        <f t="shared" si="108"/>
        <v>-5485</v>
      </c>
      <c r="H286" s="54">
        <f t="shared" si="108"/>
        <v>-5943.5459999999994</v>
      </c>
      <c r="I286" s="54">
        <f t="shared" si="108"/>
        <v>-6211.0055699999994</v>
      </c>
      <c r="J286" s="54">
        <f t="shared" si="108"/>
        <v>-6429.8730665258672</v>
      </c>
      <c r="K286" s="54">
        <f t="shared" si="108"/>
        <v>-6542.6333109223788</v>
      </c>
      <c r="L286" s="54">
        <f t="shared" si="108"/>
        <v>-6553.8205581263674</v>
      </c>
      <c r="M286" s="1"/>
      <c r="N286" s="1"/>
    </row>
    <row r="287" spans="1:14" x14ac:dyDescent="0.25">
      <c r="A287" s="169" t="s">
        <v>417</v>
      </c>
      <c r="B287" s="18"/>
      <c r="C287" s="18"/>
      <c r="D287" s="147">
        <f>D289-D286</f>
        <v>-12261</v>
      </c>
      <c r="E287" s="147">
        <f t="shared" ref="E287:G287" si="109">E289-E286</f>
        <v>-22481</v>
      </c>
      <c r="F287" s="147">
        <f t="shared" si="109"/>
        <v>-19554</v>
      </c>
      <c r="G287" s="147">
        <f t="shared" si="109"/>
        <v>-13348</v>
      </c>
      <c r="H287" s="54">
        <f>H288</f>
        <v>0</v>
      </c>
      <c r="I287" s="54">
        <f t="shared" ref="I287:L287" si="110">I288</f>
        <v>0</v>
      </c>
      <c r="J287" s="54">
        <f t="shared" si="110"/>
        <v>0</v>
      </c>
      <c r="K287" s="54">
        <f t="shared" si="110"/>
        <v>0</v>
      </c>
      <c r="L287" s="54">
        <f t="shared" si="110"/>
        <v>0</v>
      </c>
      <c r="M287" s="1"/>
      <c r="N287" s="1"/>
    </row>
    <row r="288" spans="1:14" x14ac:dyDescent="0.25">
      <c r="A288" s="10" t="s">
        <v>390</v>
      </c>
      <c r="B288" s="18"/>
      <c r="C288" s="18"/>
      <c r="D288" s="146">
        <f>IF(ISERROR(VLOOKUP("Acquisitions",Annual!$A$346:$E$398, 5,0)), 0, VLOOKUP("Acquisitions",Annual!$A$346:$E$398, 5,0))</f>
        <v>-71</v>
      </c>
      <c r="E288" s="146">
        <f>IF(ISERROR(VLOOKUP("Acquisitions",Annual!$A$346:$E$398, 4,0)), 0, VLOOKUP("Acquisitions",Annual!$A$346:$E$398, 4,0))</f>
        <v>-10112</v>
      </c>
      <c r="F288" s="146">
        <f>IF(ISERROR(VLOOKUP("Acquisitions",Annual!$A$346:$E$398, 3,0)), 0, VLOOKUP("Acquisitions",Annual!$A$346:$E$398, 3,0))</f>
        <v>-1584</v>
      </c>
      <c r="G288" s="146">
        <f>IF(ISERROR(VLOOKUP("Acquisitions",Annual!$A$346:$E$398, 2,0)), 0, VLOOKUP("Acquisitions",Annual!$A$346:$E$398, 2,0))</f>
        <v>-5937</v>
      </c>
      <c r="H288" s="128">
        <v>0</v>
      </c>
      <c r="I288" s="54">
        <f>H288</f>
        <v>0</v>
      </c>
      <c r="J288" s="54">
        <f t="shared" ref="J288:L288" si="111">I288</f>
        <v>0</v>
      </c>
      <c r="K288" s="54">
        <f t="shared" si="111"/>
        <v>0</v>
      </c>
      <c r="L288" s="54">
        <f t="shared" si="111"/>
        <v>0</v>
      </c>
      <c r="M288" s="1"/>
      <c r="N288" s="1"/>
    </row>
    <row r="289" spans="1:14" x14ac:dyDescent="0.25">
      <c r="A289" s="106" t="s">
        <v>408</v>
      </c>
      <c r="B289" s="18"/>
      <c r="C289" s="18"/>
      <c r="D289" s="146">
        <f>VLOOKUP(A289,Annual!$A$346:$E$398, 5,0)</f>
        <v>-14616</v>
      </c>
      <c r="E289" s="146">
        <f>VLOOKUP(A289,Annual!$A$346:$E$398, 4,0)</f>
        <v>-24786</v>
      </c>
      <c r="F289" s="146">
        <f>VLOOKUP(A289,Annual!$A$346:$E$398, 3,0)</f>
        <v>-23811</v>
      </c>
      <c r="G289" s="146">
        <f>VLOOKUP(A289,Annual!$A$346:$E$398, 2,0)</f>
        <v>-18833</v>
      </c>
      <c r="H289" s="54">
        <f t="shared" ref="H289:L289" si="112">SUM(H286:H287)</f>
        <v>-5943.5459999999994</v>
      </c>
      <c r="I289" s="54">
        <f t="shared" si="112"/>
        <v>-6211.0055699999994</v>
      </c>
      <c r="J289" s="54">
        <f t="shared" si="112"/>
        <v>-6429.8730665258672</v>
      </c>
      <c r="K289" s="54">
        <f t="shared" si="112"/>
        <v>-6542.6333109223788</v>
      </c>
      <c r="L289" s="54">
        <f t="shared" si="112"/>
        <v>-6553.8205581263674</v>
      </c>
      <c r="M289" s="1"/>
      <c r="N289" s="1"/>
    </row>
    <row r="290" spans="1:14" x14ac:dyDescent="0.25">
      <c r="A290" s="10"/>
      <c r="B290" s="18"/>
      <c r="C290" s="18"/>
      <c r="D290" s="54"/>
      <c r="E290" s="54"/>
      <c r="F290" s="54"/>
      <c r="G290" s="54"/>
      <c r="H290" s="54"/>
      <c r="I290" s="54"/>
      <c r="J290" s="54"/>
      <c r="K290" s="54"/>
      <c r="L290" s="54"/>
      <c r="M290" s="1"/>
      <c r="N290" s="1"/>
    </row>
    <row r="291" spans="1:14" x14ac:dyDescent="0.25">
      <c r="A291" s="169" t="s">
        <v>385</v>
      </c>
      <c r="B291" s="18"/>
      <c r="C291" s="18"/>
      <c r="D291" s="157">
        <f>SUM(D304:D305)</f>
        <v>-23</v>
      </c>
      <c r="E291" s="157">
        <f t="shared" ref="E291:G291" si="113">SUM(E304:E305)</f>
        <v>93</v>
      </c>
      <c r="F291" s="157">
        <f t="shared" si="113"/>
        <v>199</v>
      </c>
      <c r="G291" s="157">
        <f t="shared" si="113"/>
        <v>232</v>
      </c>
      <c r="H291" s="54">
        <v>0</v>
      </c>
      <c r="I291" s="54">
        <f>H291</f>
        <v>0</v>
      </c>
      <c r="J291" s="54">
        <f t="shared" ref="J291:L291" si="114">I291</f>
        <v>0</v>
      </c>
      <c r="K291" s="54">
        <f t="shared" si="114"/>
        <v>0</v>
      </c>
      <c r="L291" s="54">
        <f t="shared" si="114"/>
        <v>0</v>
      </c>
      <c r="M291" s="1"/>
      <c r="N291" s="1"/>
    </row>
    <row r="292" spans="1:14" x14ac:dyDescent="0.25">
      <c r="A292" s="169" t="s">
        <v>384</v>
      </c>
      <c r="B292" s="18"/>
      <c r="C292" s="18"/>
      <c r="D292" s="146">
        <f>IF(ISERROR(VLOOKUP(A292,Annual!$A$346:$E$398,5,0)),0,VLOOKUP(A292,Annual!$A$346:$E$398,5,0))</f>
        <v>-5180</v>
      </c>
      <c r="E292" s="146">
        <f>IF(ISERROR(VLOOKUP(A292,Annual!$A$346:$E$398, 4,0)), 0, VLOOKUP(A292,Annual!$A$346:$E$398, 4,0))</f>
        <v>-6385</v>
      </c>
      <c r="F292" s="146">
        <f>IF(ISERROR(VLOOKUP(A292,Annual!$A$346:$E$398, 3,0)), 0, VLOOKUP(A292,Annual!$A$346:$E$398, 3,0))</f>
        <v>-7455</v>
      </c>
      <c r="G292" s="146">
        <f>IF(ISERROR(VLOOKUP(A292,Annual!$A$346:$E$398,2,0)),0,VLOOKUP(A292,Annual!$A$346:$E$398,2,0))</f>
        <v>-8879</v>
      </c>
      <c r="H292" s="54">
        <f>-H192*H180</f>
        <v>-11993.177029515939</v>
      </c>
      <c r="I292" s="54">
        <f>-I192*I180</f>
        <v>-13676.540490146401</v>
      </c>
      <c r="J292" s="54">
        <f>-J192*J180</f>
        <v>-15596.18100510632</v>
      </c>
      <c r="K292" s="54">
        <f>-K192*K180</f>
        <v>-17321.299075952131</v>
      </c>
      <c r="L292" s="54">
        <f>-L192*L180</f>
        <v>-19237.235165477283</v>
      </c>
      <c r="M292" s="1"/>
      <c r="N292" s="1"/>
    </row>
    <row r="293" spans="1:14" x14ac:dyDescent="0.25">
      <c r="A293" s="10" t="s">
        <v>391</v>
      </c>
      <c r="B293" s="18"/>
      <c r="C293" s="18"/>
      <c r="D293" s="146">
        <f>SUM(D298:D299)</f>
        <v>-9133</v>
      </c>
      <c r="E293" s="146">
        <f t="shared" ref="E293:G293" si="115">SUM(E298:E299)</f>
        <v>-3116</v>
      </c>
      <c r="F293" s="146">
        <f t="shared" si="115"/>
        <v>-4429</v>
      </c>
      <c r="G293" s="146">
        <f t="shared" si="115"/>
        <v>-6709</v>
      </c>
      <c r="H293" s="54">
        <f>(H180-G180)*$B$28</f>
        <v>-3758.2103919716801</v>
      </c>
      <c r="I293" s="54">
        <f>(I180-H180)*$B$28</f>
        <v>-3726.7070935265629</v>
      </c>
      <c r="J293" s="54">
        <v>-4153.7901991089775</v>
      </c>
      <c r="K293" s="54">
        <v>-4413.208002007611</v>
      </c>
      <c r="L293" s="54">
        <v>-4688.8272963719328</v>
      </c>
      <c r="M293" s="1"/>
      <c r="N293" s="1"/>
    </row>
    <row r="294" spans="1:14" x14ac:dyDescent="0.25">
      <c r="A294" s="10" t="s">
        <v>392</v>
      </c>
      <c r="B294" s="18"/>
      <c r="C294" s="18"/>
      <c r="D294" s="146">
        <f>SUM(D301:D302)</f>
        <v>5960</v>
      </c>
      <c r="E294" s="146">
        <f t="shared" ref="E294:G294" si="116">SUM(E301:E302)</f>
        <v>0</v>
      </c>
      <c r="F294" s="146">
        <f t="shared" si="116"/>
        <v>3537</v>
      </c>
      <c r="G294" s="146">
        <f t="shared" si="116"/>
        <v>6962</v>
      </c>
      <c r="H294" s="54">
        <v>0</v>
      </c>
      <c r="I294" s="54">
        <v>0</v>
      </c>
      <c r="J294" s="54">
        <v>0</v>
      </c>
      <c r="K294" s="54">
        <v>0</v>
      </c>
      <c r="L294" s="54">
        <v>0</v>
      </c>
      <c r="M294" s="1"/>
      <c r="N294" s="1"/>
    </row>
    <row r="295" spans="1:14" x14ac:dyDescent="0.25">
      <c r="A295" s="106" t="s">
        <v>98</v>
      </c>
      <c r="B295" s="18"/>
      <c r="C295" s="18"/>
      <c r="D295" s="54">
        <f>SUM(D291:D294)</f>
        <v>-8376</v>
      </c>
      <c r="E295" s="54">
        <f t="shared" ref="E295:G295" si="117">SUM(E291:E294)</f>
        <v>-9408</v>
      </c>
      <c r="F295" s="54">
        <f t="shared" si="117"/>
        <v>-8148</v>
      </c>
      <c r="G295" s="54">
        <f t="shared" si="117"/>
        <v>-8394</v>
      </c>
      <c r="H295" s="54">
        <f>SUM(H291:H294)</f>
        <v>-15751.38742148762</v>
      </c>
      <c r="I295" s="54">
        <f t="shared" ref="I295:L295" si="118">SUM(I291:I294)</f>
        <v>-17403.247583672965</v>
      </c>
      <c r="J295" s="54">
        <f t="shared" si="118"/>
        <v>-19749.971204215297</v>
      </c>
      <c r="K295" s="54">
        <f t="shared" si="118"/>
        <v>-21734.507077959741</v>
      </c>
      <c r="L295" s="54">
        <f t="shared" si="118"/>
        <v>-23926.062461849215</v>
      </c>
      <c r="M295" s="1"/>
      <c r="N295" s="1"/>
    </row>
    <row r="296" spans="1:14" x14ac:dyDescent="0.25">
      <c r="A296" s="30" t="s">
        <v>221</v>
      </c>
      <c r="B296" s="18"/>
      <c r="C296" s="18"/>
      <c r="D296" s="54">
        <f>Annual!E139</f>
        <v>0</v>
      </c>
      <c r="E296" s="54">
        <f>Annual!D139</f>
        <v>0</v>
      </c>
      <c r="F296" s="54">
        <f>Annual!C139</f>
        <v>0</v>
      </c>
      <c r="G296" s="54">
        <f>Annual!B139</f>
        <v>0</v>
      </c>
      <c r="H296" s="54"/>
      <c r="I296" s="54"/>
      <c r="J296" s="54"/>
      <c r="K296" s="54"/>
      <c r="L296" s="54"/>
      <c r="M296" s="1"/>
      <c r="N296" s="1"/>
    </row>
    <row r="297" spans="1:14" x14ac:dyDescent="0.25">
      <c r="A297" s="10"/>
      <c r="B297" s="18"/>
      <c r="C297" s="18"/>
      <c r="D297" s="54"/>
      <c r="E297" s="54"/>
      <c r="F297" s="54"/>
      <c r="G297" s="54"/>
      <c r="H297" s="54"/>
      <c r="I297" s="54"/>
      <c r="J297" s="54"/>
      <c r="K297" s="54"/>
      <c r="L297" s="54"/>
      <c r="M297" s="1"/>
      <c r="N297" s="1"/>
    </row>
    <row r="298" spans="1:14" x14ac:dyDescent="0.25">
      <c r="A298" s="10" t="s">
        <v>442</v>
      </c>
      <c r="B298" s="18"/>
      <c r="C298" s="18"/>
      <c r="D298" s="54">
        <f>IF(ISERROR(VLOOKUP("Issuance of Capital Stock",Annual!$A$346:$E$398, 5,0)), 0, VLOOKUP("Issuance of Capital Stock",Annual!$A$346:$E$398, 5,0))</f>
        <v>2422</v>
      </c>
      <c r="E298" s="54">
        <f>IF(ISERROR(VLOOKUP("Issuance of Capital Stock",Annual!$A$346:$E$398, 4,0)), 0, VLOOKUP("Issuance of Capital Stock",Annual!$A$346:$E$398, 4,0))</f>
        <v>1913</v>
      </c>
      <c r="F298" s="54">
        <f>IF(ISERROR(VLOOKUP("Issuance of Capital Stock",Annual!$A$346:$E$398, 3,0)), 0, VLOOKUP("Issuance of Capital Stock",Annual!$A$346:$E$398, 3,0))</f>
        <v>931</v>
      </c>
      <c r="G298" s="54">
        <f>IF(ISERROR(VLOOKUP("Issuance of Capital Stock",Annual!$A$346:$E$398, 2,0)), 0, VLOOKUP("Issuance of Capital Stock",Annual!$A$346:$E$398, 2,0))</f>
        <v>607</v>
      </c>
      <c r="H298" s="54"/>
      <c r="I298" s="54"/>
      <c r="J298" s="54"/>
      <c r="K298" s="54"/>
      <c r="L298" s="54"/>
      <c r="M298" s="1"/>
      <c r="N298" s="1"/>
    </row>
    <row r="299" spans="1:14" x14ac:dyDescent="0.25">
      <c r="A299" s="10" t="s">
        <v>443</v>
      </c>
      <c r="B299" s="18"/>
      <c r="C299" s="18"/>
      <c r="D299" s="54">
        <f>IF(ISERROR(VLOOKUP("Repurchase of Capital Stock",Annual!$A$346:$E$398, 5,0)), 0, VLOOKUP("Repurchase of Capital Stock",Annual!$A$346:$E$398, 5,0))</f>
        <v>-11555</v>
      </c>
      <c r="E299" s="54">
        <f>IF(ISERROR(VLOOKUP("Repurchase of Capital Stock",Annual!$A$346:$E$398, 4,0)), 0, VLOOKUP("Repurchase of Capital Stock",Annual!$A$346:$E$398, 4,0))</f>
        <v>-5029</v>
      </c>
      <c r="F299" s="54">
        <f>IF(ISERROR(VLOOKUP("Repurchase of Capital Stock",Annual!$A$346:$E$398, 3,0)), 0, VLOOKUP("Repurchase of Capital Stock",Annual!$A$346:$E$398, 3,0))</f>
        <v>-5360</v>
      </c>
      <c r="G299" s="54">
        <f>IF(ISERROR(VLOOKUP("Repurchase of Capital Stock",Annual!$A$346:$E$398, 2,0)), 0, VLOOKUP("Repurchase of Capital Stock",Annual!$A$346:$E$398, 2,0))</f>
        <v>-7316</v>
      </c>
      <c r="H299" s="54"/>
      <c r="I299" s="54"/>
      <c r="J299" s="54"/>
      <c r="K299" s="54"/>
      <c r="L299" s="54"/>
      <c r="M299" s="1"/>
      <c r="N299" s="1"/>
    </row>
    <row r="300" spans="1:14" x14ac:dyDescent="0.25">
      <c r="A300" s="10"/>
      <c r="B300" s="18"/>
      <c r="C300" s="18"/>
      <c r="D300" s="54"/>
      <c r="E300" s="54"/>
      <c r="F300" s="54"/>
      <c r="G300" s="54"/>
      <c r="H300" s="54"/>
      <c r="I300" s="54"/>
      <c r="J300" s="54"/>
      <c r="K300" s="54"/>
      <c r="L300" s="54"/>
      <c r="M300" s="1"/>
      <c r="N300" s="1"/>
    </row>
    <row r="301" spans="1:14" x14ac:dyDescent="0.25">
      <c r="A301" s="10" t="s">
        <v>440</v>
      </c>
      <c r="B301" s="18"/>
      <c r="C301" s="18"/>
      <c r="D301" s="54">
        <f>IF(ISERROR(VLOOKUP("Issuance of Debt",Annual!$A$346:$E$398, 5,0)), 0, VLOOKUP("Issuance of Debt",Annual!$A$346:$E$398, 5,0))</f>
        <v>6774</v>
      </c>
      <c r="E301" s="54">
        <f>IF(ISERROR(VLOOKUP("Issuance of Debt",Annual!$A$346:$E$398, 4,0)), 0, VLOOKUP("Issuance of Debt",Annual!$A$346:$E$398, 4,0))</f>
        <v>0</v>
      </c>
      <c r="F301" s="54">
        <f>IF(ISERROR(VLOOKUP("Issuance of Debt",Annual!$A$346:$E$398, 3,0)), 0, VLOOKUP("Issuance of Debt",Annual!$A$346:$E$398, 3,0))</f>
        <v>4883</v>
      </c>
      <c r="G301" s="54">
        <f>IF(ISERROR(VLOOKUP("Issuance of Debt",Annual!$A$346:$E$398, 2,0)), 0, VLOOKUP("Issuance of Debt",Annual!$A$346:$E$398, 2,0))</f>
        <v>10850</v>
      </c>
      <c r="H301" s="54"/>
      <c r="I301" s="54"/>
      <c r="J301" s="54"/>
      <c r="K301" s="54"/>
      <c r="L301" s="54"/>
      <c r="M301" s="1"/>
      <c r="N301" s="1"/>
    </row>
    <row r="302" spans="1:14" x14ac:dyDescent="0.25">
      <c r="A302" s="10" t="s">
        <v>441</v>
      </c>
      <c r="B302" s="18"/>
      <c r="C302" s="18"/>
      <c r="D302" s="54">
        <f>IF(ISERROR(VLOOKUP("Repayment of Debt",Annual!$A$346:$E$398, 5,0)), 0, VLOOKUP("Repayment of Debt",Annual!$A$346:$E$398, 5,0))</f>
        <v>-814</v>
      </c>
      <c r="E302" s="54">
        <f>IF(ISERROR(VLOOKUP("Repayment of Debt",Annual!$A$346:$E$398, 4,0)), 0, VLOOKUP("Repayment of Debt",Annual!$A$346:$E$398, 4,0))</f>
        <v>0</v>
      </c>
      <c r="F302" s="54">
        <f>IF(ISERROR(VLOOKUP("Repayment of Debt",Annual!$A$346:$E$398, 3,0)), 0, VLOOKUP("Repayment of Debt",Annual!$A$346:$E$398, 3,0))</f>
        <v>-1346</v>
      </c>
      <c r="G302" s="54">
        <f>IF(ISERROR(VLOOKUP("Repayment of Debt",Annual!$A$346:$E$398, 2,0)), 0, VLOOKUP("Repayment of Debt",Annual!$A$346:$E$398, 2,0))</f>
        <v>-3888</v>
      </c>
      <c r="H302" s="54"/>
      <c r="I302" s="54"/>
      <c r="J302" s="54"/>
      <c r="K302" s="54"/>
      <c r="L302" s="54"/>
      <c r="M302" s="1"/>
      <c r="N302" s="1"/>
    </row>
    <row r="303" spans="1:14" x14ac:dyDescent="0.25">
      <c r="A303" s="10"/>
      <c r="B303" s="18"/>
      <c r="C303" s="18"/>
      <c r="D303" s="54"/>
      <c r="E303" s="54"/>
      <c r="F303" s="54"/>
      <c r="G303" s="54"/>
      <c r="H303" s="54"/>
      <c r="I303" s="54"/>
      <c r="J303" s="54"/>
      <c r="K303" s="54"/>
      <c r="L303" s="54"/>
      <c r="M303" s="1"/>
      <c r="N303" s="1"/>
    </row>
    <row r="304" spans="1:14" x14ac:dyDescent="0.25">
      <c r="A304" s="10" t="s">
        <v>385</v>
      </c>
      <c r="B304" s="18"/>
      <c r="C304" s="18"/>
      <c r="D304" s="54">
        <f>IF(ISERROR(VLOOKUP(A291,Annual!$A$346:$E$398, 5,0)), 0, VLOOKUP(A291,Annual!$A$346:$E$398, 5,0))</f>
        <v>-23</v>
      </c>
      <c r="E304" s="54">
        <f>IF(ISERROR(VLOOKUP(A291,Annual!$A$346:$E$398, 4,0)), 0, VLOOKUP(A291,Annual!$A$346:$E$398, 4,0))</f>
        <v>93</v>
      </c>
      <c r="F304" s="54">
        <f>IF(ISERROR(VLOOKUP(A291,Annual!$A$346:$E$398, 3,0)), 0, VLOOKUP(A291,Annual!$A$346:$E$398, 3,0))</f>
        <v>199</v>
      </c>
      <c r="G304" s="54">
        <f>IF(ISERROR(VLOOKUP(A291,Annual!$A$346:$E$398, 2,0)), 0, VLOOKUP(A291,Annual!$A$346:$E$398, 2,0))</f>
        <v>232</v>
      </c>
      <c r="H304" s="54"/>
      <c r="I304" s="54"/>
      <c r="J304" s="54"/>
      <c r="K304" s="54"/>
      <c r="L304" s="54"/>
      <c r="M304" s="1"/>
      <c r="N304" s="1"/>
    </row>
    <row r="305" spans="1:14" x14ac:dyDescent="0.25">
      <c r="A305" s="10" t="s">
        <v>438</v>
      </c>
      <c r="B305" s="18"/>
      <c r="C305" s="18"/>
      <c r="D305" s="54">
        <f>IF(ISERROR(VLOOKUP("Net Cash From Discontinued Operations",Annual!$A$346:$E$398,5,0)),0,VLOOKUP("Net Cash From Discontinued Operations",Annual!$A$346:$E$398,5,0))</f>
        <v>0</v>
      </c>
      <c r="E305" s="54">
        <f>IF(ISERROR(VLOOKUP("Net Cash From Discontinued Operations",Annual!$A$346:$E$398,4,0)),0,VLOOKUP("Net Cash From Discontinued Operations",Annual!$A$346:$E$398,4,0))</f>
        <v>0</v>
      </c>
      <c r="F305" s="54">
        <f>IF(ISERROR(VLOOKUP("Net Cash From Discontinued Operations",Annual!$A$346:$E$398,3,0)),0,VLOOKUP("Net Cash From Discontinued Operations",Annual!$A$346:$E$398,3,0))</f>
        <v>0</v>
      </c>
      <c r="G305" s="54">
        <f>IF(ISERROR(VLOOKUP("Net Cash From Discontinued Operations",Annual!$A$346:$E$398,2,0)),0,VLOOKUP("Net Cash From Discontinued Operations",Annual!$A$346:$E$398,2,0))</f>
        <v>0</v>
      </c>
      <c r="H305" s="54"/>
      <c r="I305" s="54"/>
      <c r="J305" s="54"/>
      <c r="K305" s="54"/>
      <c r="L305" s="54"/>
      <c r="M305" s="1"/>
      <c r="N305" s="1"/>
    </row>
    <row r="306" spans="1:14" x14ac:dyDescent="0.25">
      <c r="A306" s="10"/>
      <c r="B306" s="18"/>
      <c r="C306" s="18"/>
      <c r="D306" s="54"/>
      <c r="E306" s="54"/>
      <c r="F306" s="54"/>
      <c r="G306" s="54"/>
      <c r="H306" s="54"/>
      <c r="I306" s="54"/>
      <c r="J306" s="54"/>
      <c r="K306" s="54"/>
      <c r="L306" s="54"/>
      <c r="M306" s="1"/>
      <c r="N306" s="1"/>
    </row>
    <row r="307" spans="1:14" x14ac:dyDescent="0.25">
      <c r="A307" s="169" t="s">
        <v>409</v>
      </c>
      <c r="B307" s="18"/>
      <c r="C307" s="18"/>
      <c r="D307" s="146">
        <f>IF(ISERROR(VLOOKUP(A307,Annual!$A$346:$E$398, 5,0)), 0, VLOOKUP(A307,Annual!$A$346:$E$398, 5,0))</f>
        <v>103</v>
      </c>
      <c r="E307" s="146">
        <f>IF(ISERROR(VLOOKUP(A307,Annual!$A$346:$E$398, 4,0)), 0, VLOOKUP(A307,Annual!$A$346:$E$398, 4,0))</f>
        <v>-104</v>
      </c>
      <c r="F307" s="146">
        <f>IF(ISERROR(VLOOKUP(A307,Annual!$A$346:$E$398, 3,0)), 0, VLOOKUP(A307,Annual!$A$346:$E$398, 3,0))</f>
        <v>-8</v>
      </c>
      <c r="G307" s="146">
        <f>IF(ISERROR(VLOOKUP(A307,Annual!$A$346:$E$398, 2,0)), 0, VLOOKUP(A307,Annual!$A$346:$E$398, 2,0))</f>
        <v>-139</v>
      </c>
      <c r="H307" s="54">
        <v>0</v>
      </c>
      <c r="I307" s="54">
        <v>0</v>
      </c>
      <c r="J307" s="54">
        <v>0</v>
      </c>
      <c r="K307" s="54">
        <v>0</v>
      </c>
      <c r="L307" s="54">
        <v>0</v>
      </c>
      <c r="M307" s="1"/>
      <c r="N307" s="1"/>
    </row>
    <row r="308" spans="1:14" x14ac:dyDescent="0.25">
      <c r="A308" s="10"/>
      <c r="B308" s="18"/>
      <c r="C308" s="18"/>
      <c r="D308" s="54"/>
      <c r="E308" s="54"/>
      <c r="F308" s="54"/>
      <c r="G308" s="54"/>
      <c r="H308" s="54"/>
      <c r="I308" s="54"/>
      <c r="J308" s="54"/>
      <c r="K308" s="54"/>
      <c r="L308" s="54"/>
      <c r="M308" s="1"/>
      <c r="N308" s="1"/>
    </row>
    <row r="309" spans="1:14" x14ac:dyDescent="0.25">
      <c r="A309" s="115" t="s">
        <v>227</v>
      </c>
      <c r="B309" s="89"/>
      <c r="C309" s="89"/>
      <c r="D309" s="116">
        <f t="shared" ref="D309:L309" si="119">D279+D289+D295+D307</f>
        <v>4105</v>
      </c>
      <c r="E309" s="116">
        <f t="shared" si="119"/>
        <v>-2672</v>
      </c>
      <c r="F309" s="116">
        <f t="shared" si="119"/>
        <v>-3134</v>
      </c>
      <c r="G309" s="116">
        <f t="shared" si="119"/>
        <v>4865</v>
      </c>
      <c r="H309" s="116">
        <f t="shared" si="119"/>
        <v>6590.9486447500167</v>
      </c>
      <c r="I309" s="116">
        <f t="shared" si="119"/>
        <v>7614.7136948451734</v>
      </c>
      <c r="J309" s="116">
        <f t="shared" si="119"/>
        <v>6905.1706425005359</v>
      </c>
      <c r="K309" s="116">
        <f t="shared" si="119"/>
        <v>7527.376673726063</v>
      </c>
      <c r="L309" s="117">
        <f t="shared" si="119"/>
        <v>7730.9670118677313</v>
      </c>
      <c r="M309" s="1"/>
      <c r="N309" s="1"/>
    </row>
    <row r="310" spans="1:14" x14ac:dyDescent="0.25">
      <c r="A310" s="118" t="s">
        <v>226</v>
      </c>
      <c r="B310" s="119"/>
      <c r="C310" s="119"/>
      <c r="D310" s="120"/>
      <c r="E310" s="120">
        <f>E325-D325</f>
        <v>10268</v>
      </c>
      <c r="F310" s="120">
        <f t="shared" ref="F310:G310" si="120">F325-E325</f>
        <v>13982</v>
      </c>
      <c r="G310" s="120">
        <f t="shared" si="120"/>
        <v>8687</v>
      </c>
      <c r="H310" s="120">
        <f>H325-G325</f>
        <v>6590.9486447500094</v>
      </c>
      <c r="I310" s="120">
        <f t="shared" ref="I310:L310" si="121">I325-H325</f>
        <v>7614.7136948451807</v>
      </c>
      <c r="J310" s="120">
        <f t="shared" si="121"/>
        <v>6905.170642500525</v>
      </c>
      <c r="K310" s="120">
        <f t="shared" si="121"/>
        <v>7527.3766737260448</v>
      </c>
      <c r="L310" s="121">
        <f t="shared" si="121"/>
        <v>7730.9670118677022</v>
      </c>
      <c r="M310" s="1"/>
      <c r="N310" s="1"/>
    </row>
    <row r="311" spans="1:14" x14ac:dyDescent="0.25">
      <c r="A311" s="10"/>
      <c r="B311" s="18"/>
      <c r="C311" s="18"/>
      <c r="D311" s="54"/>
      <c r="E311" s="54"/>
      <c r="F311" s="54"/>
      <c r="G311" s="54"/>
      <c r="H311" s="54">
        <f>H309-H310</f>
        <v>7.2759576141834259E-12</v>
      </c>
      <c r="I311" s="54">
        <f t="shared" ref="I311:L311" si="122">I309-I310</f>
        <v>-7.2759576141834259E-12</v>
      </c>
      <c r="J311" s="54">
        <f t="shared" si="122"/>
        <v>1.0913936421275139E-11</v>
      </c>
      <c r="K311" s="54">
        <f t="shared" si="122"/>
        <v>1.8189894035458565E-11</v>
      </c>
      <c r="L311" s="54">
        <f t="shared" si="122"/>
        <v>2.9103830456733704E-11</v>
      </c>
      <c r="M311" s="1"/>
      <c r="N311" s="1"/>
    </row>
    <row r="312" spans="1:14" x14ac:dyDescent="0.25">
      <c r="A312" s="10" t="s">
        <v>62</v>
      </c>
      <c r="B312" s="18"/>
      <c r="C312" s="22"/>
      <c r="D312" s="54">
        <f t="shared" ref="D312:L312" si="123">D279-D246</f>
        <v>24639</v>
      </c>
      <c r="E312" s="54">
        <f t="shared" si="123"/>
        <v>29321</v>
      </c>
      <c r="F312" s="54">
        <f t="shared" si="123"/>
        <v>24576</v>
      </c>
      <c r="G312" s="54">
        <f t="shared" si="123"/>
        <v>26746</v>
      </c>
      <c r="H312" s="47">
        <f t="shared" si="123"/>
        <v>22342.336066237636</v>
      </c>
      <c r="I312" s="47">
        <f t="shared" si="123"/>
        <v>25017.961278518138</v>
      </c>
      <c r="J312" s="47">
        <f t="shared" si="123"/>
        <v>26655.141846715833</v>
      </c>
      <c r="K312" s="47">
        <f t="shared" si="123"/>
        <v>29261.883751685804</v>
      </c>
      <c r="L312" s="47">
        <f t="shared" si="123"/>
        <v>31657.029473716946</v>
      </c>
      <c r="M312" s="1">
        <f>ABS(G279/E279-1)</f>
        <v>1.9129829886801897E-2</v>
      </c>
      <c r="N312" s="1"/>
    </row>
    <row r="313" spans="1:14" x14ac:dyDescent="0.25">
      <c r="A313" s="1" t="s">
        <v>143</v>
      </c>
      <c r="B313" s="13"/>
      <c r="C313" s="13"/>
      <c r="D313" s="43">
        <f t="shared" ref="D313:L313" si="124">D312/D70</f>
        <v>0.35227256480276797</v>
      </c>
      <c r="E313" s="43">
        <f t="shared" si="124"/>
        <v>0.39771848676803712</v>
      </c>
      <c r="F313" s="43">
        <f t="shared" si="124"/>
        <v>0.3156880627882182</v>
      </c>
      <c r="G313" s="43">
        <f t="shared" si="124"/>
        <v>0.3080165374915067</v>
      </c>
      <c r="H313" s="5">
        <f t="shared" si="124"/>
        <v>0.23875138050296446</v>
      </c>
      <c r="I313" s="5">
        <f t="shared" si="124"/>
        <v>0.26949924648169543</v>
      </c>
      <c r="J313" s="5">
        <f t="shared" si="124"/>
        <v>0.26785012406210112</v>
      </c>
      <c r="K313" s="5">
        <f t="shared" si="124"/>
        <v>0.27871521340086569</v>
      </c>
      <c r="L313" s="5">
        <f t="shared" si="124"/>
        <v>0.28993137521488416</v>
      </c>
      <c r="M313" s="5">
        <f>AVERAGE(H313:L313)</f>
        <v>0.26894946793250218</v>
      </c>
      <c r="N313" s="1"/>
    </row>
    <row r="314" spans="1:14" x14ac:dyDescent="0.25">
      <c r="A314" s="10"/>
      <c r="B314" s="18"/>
      <c r="C314" s="18"/>
      <c r="D314" s="18"/>
      <c r="E314" s="18"/>
      <c r="F314" s="18"/>
      <c r="G314" s="18"/>
      <c r="H314" s="19"/>
      <c r="I314" s="32"/>
      <c r="J314" s="10"/>
      <c r="K314" s="10"/>
      <c r="L314" s="10"/>
      <c r="M314" s="1"/>
      <c r="N314" s="1"/>
    </row>
    <row r="315" spans="1:14" x14ac:dyDescent="0.25">
      <c r="A315" s="10" t="s">
        <v>167</v>
      </c>
      <c r="B315" s="16"/>
      <c r="C315" s="16"/>
      <c r="D315" s="54">
        <f t="shared" ref="D315:L315" si="125">D107-D137-D142</f>
        <v>23801</v>
      </c>
      <c r="E315" s="54">
        <f t="shared" si="125"/>
        <v>30943</v>
      </c>
      <c r="F315" s="54">
        <f t="shared" si="125"/>
        <v>24613</v>
      </c>
      <c r="G315" s="54">
        <f t="shared" si="125"/>
        <v>26821</v>
      </c>
      <c r="H315" s="47">
        <f t="shared" si="125"/>
        <v>24972.96231079103</v>
      </c>
      <c r="I315" s="47">
        <f t="shared" si="125"/>
        <v>26841.317331958679</v>
      </c>
      <c r="J315" s="47">
        <f t="shared" si="125"/>
        <v>29590.583316342807</v>
      </c>
      <c r="K315" s="47">
        <f t="shared" si="125"/>
        <v>32059.928738983657</v>
      </c>
      <c r="L315" s="47">
        <f t="shared" si="125"/>
        <v>34201.660140712447</v>
      </c>
      <c r="M315" s="16"/>
      <c r="N315" s="12"/>
    </row>
    <row r="316" spans="1:14" x14ac:dyDescent="0.25">
      <c r="A316" s="10" t="s">
        <v>168</v>
      </c>
      <c r="B316" s="16"/>
      <c r="C316" s="16"/>
      <c r="D316" s="152">
        <f t="shared" ref="D316:L316" si="126">IF(D370=0, D315/(D370+0.1), D315/D370)</f>
        <v>1.9965606912171798</v>
      </c>
      <c r="E316" s="152">
        <f t="shared" si="126"/>
        <v>2.5906731413261888</v>
      </c>
      <c r="F316" s="152">
        <f t="shared" si="126"/>
        <v>1.5777564102564103</v>
      </c>
      <c r="G316" s="152">
        <f t="shared" si="126"/>
        <v>1.1844115698829765</v>
      </c>
      <c r="H316" s="90">
        <f t="shared" si="126"/>
        <v>1.1028024866765744</v>
      </c>
      <c r="I316" s="90">
        <f t="shared" si="126"/>
        <v>1.1853087803911979</v>
      </c>
      <c r="J316" s="90">
        <f t="shared" si="126"/>
        <v>1.3067159777585695</v>
      </c>
      <c r="K316" s="90">
        <f t="shared" si="126"/>
        <v>1.4157619226753657</v>
      </c>
      <c r="L316" s="90">
        <f t="shared" si="126"/>
        <v>1.5103404787243297</v>
      </c>
      <c r="M316" s="16"/>
      <c r="N316" s="12"/>
    </row>
    <row r="317" spans="1:14" x14ac:dyDescent="0.25">
      <c r="A317" s="10"/>
      <c r="B317" s="16"/>
      <c r="C317" s="16"/>
      <c r="D317" s="16"/>
      <c r="E317" s="16"/>
      <c r="F317" s="16"/>
      <c r="G317" s="16"/>
      <c r="H317" s="16"/>
      <c r="I317" s="16"/>
      <c r="J317" s="16"/>
      <c r="K317" s="16"/>
      <c r="L317" s="16"/>
      <c r="M317" s="16"/>
      <c r="N317" s="12"/>
    </row>
    <row r="318" spans="1:14" x14ac:dyDescent="0.25">
      <c r="A318" s="10" t="s">
        <v>169</v>
      </c>
      <c r="B318" s="16"/>
      <c r="C318" s="16"/>
      <c r="D318" s="54">
        <f t="shared" ref="D318:L318" si="127">D315-D197-D222</f>
        <v>21446</v>
      </c>
      <c r="E318" s="54">
        <f t="shared" si="127"/>
        <v>28396</v>
      </c>
      <c r="F318" s="54">
        <f t="shared" si="127"/>
        <v>18978</v>
      </c>
      <c r="G318" s="54">
        <f t="shared" si="127"/>
        <v>21444</v>
      </c>
      <c r="H318" s="47">
        <f t="shared" si="127"/>
        <v>18070.901066237635</v>
      </c>
      <c r="I318" s="47">
        <f t="shared" si="127"/>
        <v>20653.453228518138</v>
      </c>
      <c r="J318" s="47">
        <f t="shared" si="127"/>
        <v>22194.768555215825</v>
      </c>
      <c r="K318" s="47">
        <f t="shared" si="127"/>
        <v>24702.769261440797</v>
      </c>
      <c r="L318" s="47">
        <f t="shared" si="127"/>
        <v>26996.211548764593</v>
      </c>
      <c r="M318" s="16"/>
      <c r="N318" s="12"/>
    </row>
    <row r="319" spans="1:14" x14ac:dyDescent="0.25">
      <c r="A319" s="10" t="s">
        <v>170</v>
      </c>
      <c r="B319" s="16"/>
      <c r="C319" s="16"/>
      <c r="D319" s="152">
        <f t="shared" ref="D319:L319" si="128">IF(D370=0, D318/(D370+0.01), D318/D370)</f>
        <v>1.7990101501551883</v>
      </c>
      <c r="E319" s="152">
        <f t="shared" si="128"/>
        <v>2.3774279973208303</v>
      </c>
      <c r="F319" s="152">
        <f t="shared" si="128"/>
        <v>1.2165384615384616</v>
      </c>
      <c r="G319" s="152">
        <f t="shared" si="128"/>
        <v>0.94696400971516892</v>
      </c>
      <c r="H319" s="90">
        <f t="shared" si="128"/>
        <v>0.79800843745805405</v>
      </c>
      <c r="I319" s="90">
        <f t="shared" si="128"/>
        <v>0.91205357599991776</v>
      </c>
      <c r="J319" s="90">
        <f t="shared" si="128"/>
        <v>0.98011784302123317</v>
      </c>
      <c r="K319" s="90">
        <f t="shared" si="128"/>
        <v>1.0908707997986662</v>
      </c>
      <c r="L319" s="90">
        <f t="shared" si="128"/>
        <v>1.1921488871170056</v>
      </c>
      <c r="M319" s="16"/>
      <c r="N319" s="12"/>
    </row>
    <row r="320" spans="1:14" x14ac:dyDescent="0.25">
      <c r="A320" s="10"/>
      <c r="B320" s="18"/>
      <c r="C320" s="18"/>
      <c r="D320" s="10"/>
      <c r="E320" s="10"/>
      <c r="F320" s="10"/>
      <c r="G320" s="10"/>
      <c r="H320" s="19"/>
      <c r="I320" s="32"/>
      <c r="J320" s="10"/>
      <c r="K320" s="10"/>
      <c r="L320" s="10"/>
      <c r="M320" s="1"/>
      <c r="N320" s="1"/>
    </row>
    <row r="321" spans="1:14" s="96" customFormat="1" ht="20.100000000000001" customHeight="1" x14ac:dyDescent="0.4">
      <c r="A321" s="93" t="s">
        <v>204</v>
      </c>
      <c r="B321" s="94"/>
      <c r="C321" s="94"/>
      <c r="D321" s="94"/>
      <c r="E321" s="94"/>
      <c r="F321" s="94"/>
      <c r="G321" s="94"/>
      <c r="H321" s="95"/>
      <c r="I321" s="94"/>
      <c r="J321" s="94"/>
      <c r="K321" s="94"/>
      <c r="L321" s="94"/>
      <c r="M321" s="94"/>
      <c r="N321" s="94"/>
    </row>
    <row r="322" spans="1:14" x14ac:dyDescent="0.25">
      <c r="A322" s="1" t="str">
        <f>A263</f>
        <v>In Millions of USD (except for per share items)</v>
      </c>
      <c r="B322" s="1"/>
      <c r="C322" s="1"/>
      <c r="D322" s="166">
        <f>E322-1</f>
        <v>42181</v>
      </c>
      <c r="E322" s="166">
        <f>F322-1</f>
        <v>42182</v>
      </c>
      <c r="F322" s="166">
        <f>G322-1</f>
        <v>42183</v>
      </c>
      <c r="G322" s="166">
        <f>H323-1</f>
        <v>42184</v>
      </c>
      <c r="H322" s="2" t="s">
        <v>4</v>
      </c>
      <c r="I322" s="2" t="s">
        <v>5</v>
      </c>
      <c r="J322" s="2" t="s">
        <v>6</v>
      </c>
      <c r="K322" s="2" t="s">
        <v>7</v>
      </c>
      <c r="L322" s="2" t="s">
        <v>8</v>
      </c>
      <c r="M322" s="2" t="s">
        <v>35</v>
      </c>
      <c r="N322" s="2" t="s">
        <v>9</v>
      </c>
    </row>
    <row r="323" spans="1:14" x14ac:dyDescent="0.25">
      <c r="A323" s="3" t="s">
        <v>3</v>
      </c>
      <c r="B323" s="36"/>
      <c r="C323" s="13"/>
      <c r="D323" s="145">
        <f>D264</f>
        <v>40724</v>
      </c>
      <c r="E323" s="145">
        <f t="shared" ref="E323:G323" si="129">E264</f>
        <v>41090</v>
      </c>
      <c r="F323" s="145">
        <f t="shared" si="129"/>
        <v>41455</v>
      </c>
      <c r="G323" s="145">
        <f t="shared" si="129"/>
        <v>41820</v>
      </c>
      <c r="H323" s="145">
        <f>H264</f>
        <v>42185</v>
      </c>
      <c r="I323" s="145">
        <f t="shared" ref="I323:L323" si="130">I264</f>
        <v>42550</v>
      </c>
      <c r="J323" s="145">
        <f t="shared" si="130"/>
        <v>42915</v>
      </c>
      <c r="K323" s="145">
        <f t="shared" si="130"/>
        <v>43280</v>
      </c>
      <c r="L323" s="145">
        <f t="shared" si="130"/>
        <v>43645</v>
      </c>
      <c r="M323" s="30"/>
      <c r="N323" s="10"/>
    </row>
    <row r="324" spans="1:14" x14ac:dyDescent="0.25">
      <c r="A324" s="27" t="s">
        <v>208</v>
      </c>
      <c r="B324" s="36"/>
      <c r="C324" s="13"/>
      <c r="D324" s="97"/>
      <c r="E324" s="97"/>
      <c r="F324" s="97"/>
      <c r="G324" s="97"/>
      <c r="H324" s="97"/>
      <c r="I324" s="97"/>
      <c r="J324" s="97"/>
      <c r="K324" s="97"/>
      <c r="L324" s="97"/>
      <c r="M324" s="30"/>
      <c r="N324" s="10"/>
    </row>
    <row r="325" spans="1:14" x14ac:dyDescent="0.25">
      <c r="A325" s="10" t="s">
        <v>28</v>
      </c>
      <c r="B325" s="18"/>
      <c r="C325" s="18"/>
      <c r="D325" s="146">
        <f>SUM(D335:D337)</f>
        <v>52772</v>
      </c>
      <c r="E325" s="146">
        <f t="shared" ref="E325:G325" si="131">SUM(E335:E337)</f>
        <v>63040</v>
      </c>
      <c r="F325" s="146">
        <f t="shared" si="131"/>
        <v>77022</v>
      </c>
      <c r="G325" s="146">
        <f t="shared" si="131"/>
        <v>85709</v>
      </c>
      <c r="H325" s="111">
        <f>H397+H379-SUM(H346:H350,H341,H331,H330,H328,H326)</f>
        <v>92299.948644750009</v>
      </c>
      <c r="I325" s="111">
        <f t="shared" ref="I325:L325" si="132">I397+I379-SUM(I346:I350,I341,I331,I330,I328,I326)</f>
        <v>99914.66233959519</v>
      </c>
      <c r="J325" s="111">
        <f t="shared" si="132"/>
        <v>106819.83298209572</v>
      </c>
      <c r="K325" s="111">
        <f t="shared" si="132"/>
        <v>114347.20965582176</v>
      </c>
      <c r="L325" s="111">
        <f t="shared" si="132"/>
        <v>122078.17666768946</v>
      </c>
      <c r="M325" s="22"/>
      <c r="N325" s="10"/>
    </row>
    <row r="326" spans="1:14" x14ac:dyDescent="0.25">
      <c r="A326" s="1" t="s">
        <v>12</v>
      </c>
      <c r="B326" s="36"/>
      <c r="C326" s="13"/>
      <c r="D326" s="100">
        <f>IF(ISERROR(D413), 0, D413)</f>
        <v>1372</v>
      </c>
      <c r="E326" s="100">
        <f>IF(ISERROR(E413), 0, E413)</f>
        <v>1137</v>
      </c>
      <c r="F326" s="100">
        <f>IF(ISERROR(F413), 0, F413)</f>
        <v>1938</v>
      </c>
      <c r="G326" s="100">
        <f>IF(ISERROR(G413), 0, G413)</f>
        <v>2660</v>
      </c>
      <c r="H326" s="100">
        <f>H77*H327/365</f>
        <v>3031.437594246715</v>
      </c>
      <c r="I326" s="100">
        <f>I77*I327/365</f>
        <v>2855.2835377393212</v>
      </c>
      <c r="J326" s="100">
        <f>J77*J327/365</f>
        <v>2978.4106660003495</v>
      </c>
      <c r="K326" s="100">
        <f>K77*K327/365</f>
        <v>3056.4132278934071</v>
      </c>
      <c r="L326" s="100">
        <f>L77*L327/365</f>
        <v>3090.6526514560105</v>
      </c>
      <c r="M326" s="30"/>
      <c r="N326" s="10"/>
    </row>
    <row r="327" spans="1:14" x14ac:dyDescent="0.25">
      <c r="A327" s="1" t="s">
        <v>228</v>
      </c>
      <c r="B327" s="36"/>
      <c r="C327" s="13"/>
      <c r="D327" s="100">
        <f>IF(ISERROR(365/(D77/D326)),0,365/(D77/D326))</f>
        <v>32.148680747255568</v>
      </c>
      <c r="E327" s="100">
        <f>IF(ISERROR(365/(E77/E326)),0,365/(E77/E326))</f>
        <v>23.673987450085569</v>
      </c>
      <c r="F327" s="100">
        <f>IF(ISERROR(365/(F77/F326)),0,365/(F77/F326))</f>
        <v>34.933576966763788</v>
      </c>
      <c r="G327" s="100">
        <f>IF(ISERROR(365/(G77/G326)),0,365/(G77/G326))</f>
        <v>36.047375064973636</v>
      </c>
      <c r="H327" s="100">
        <f>G327-(($G$327-$L$327)/5)</f>
        <v>35.612728064203239</v>
      </c>
      <c r="I327" s="100">
        <f t="shared" ref="I327:K327" si="133">H327-(($G$327-$L$327)/5)</f>
        <v>35.178081063432842</v>
      </c>
      <c r="J327" s="100">
        <f t="shared" si="133"/>
        <v>34.743434062662445</v>
      </c>
      <c r="K327" s="100">
        <f t="shared" si="133"/>
        <v>34.308787061892048</v>
      </c>
      <c r="L327" s="109">
        <f>AVERAGE(AVERAGE(D327:G327),G327)</f>
        <v>33.874140061121636</v>
      </c>
      <c r="M327" s="30"/>
      <c r="N327" s="10"/>
    </row>
    <row r="328" spans="1:14" x14ac:dyDescent="0.25">
      <c r="A328" s="1" t="s">
        <v>13</v>
      </c>
      <c r="B328" s="36"/>
      <c r="C328" s="13"/>
      <c r="D328" s="100">
        <f t="shared" ref="D328:G328" si="134">D414</f>
        <v>14987</v>
      </c>
      <c r="E328" s="100">
        <f t="shared" si="134"/>
        <v>15780</v>
      </c>
      <c r="F328" s="100">
        <f t="shared" si="134"/>
        <v>17486</v>
      </c>
      <c r="G328" s="100">
        <f t="shared" si="134"/>
        <v>19544</v>
      </c>
      <c r="H328" s="100">
        <f>H329*H70/365</f>
        <v>21010.412267145817</v>
      </c>
      <c r="I328" s="100">
        <f>I329*I70/365</f>
        <v>20790.589688417302</v>
      </c>
      <c r="J328" s="100">
        <f>J329*J70/365</f>
        <v>22232.047637189418</v>
      </c>
      <c r="K328" s="100">
        <f>K329*K70/365</f>
        <v>23396.295200457247</v>
      </c>
      <c r="L328" s="100">
        <f>L329*L70/365</f>
        <v>24271.291349426836</v>
      </c>
      <c r="M328" s="30"/>
      <c r="N328" s="10"/>
    </row>
    <row r="329" spans="1:14" x14ac:dyDescent="0.25">
      <c r="A329" s="1" t="s">
        <v>229</v>
      </c>
      <c r="B329" s="36"/>
      <c r="C329" s="13"/>
      <c r="D329" s="100">
        <f>IF(ISERROR(365/(Model!D70/Model!D328)),0,365/(Model!D70/Model!D328))</f>
        <v>78.210185436712749</v>
      </c>
      <c r="E329" s="100">
        <f>IF(ISERROR(365/(Model!E70/Model!E328)),0,365/(Model!E70/Model!E328))</f>
        <v>78.126229263594809</v>
      </c>
      <c r="F329" s="100">
        <f>IF(ISERROR(365/(Model!F70/Model!F328)),0,365/(Model!F70/Model!F328))</f>
        <v>81.984225873164718</v>
      </c>
      <c r="G329" s="100">
        <f>IF(ISERROR(365/(Model!G70/Model!G328)),0,365/(Model!G70/Model!G328))</f>
        <v>82.152637822026179</v>
      </c>
      <c r="H329" s="100">
        <f>G329-(($G$329-$L$329)/5)</f>
        <v>81.949205999711026</v>
      </c>
      <c r="I329" s="100">
        <f t="shared" ref="I329:K329" si="135">H329-(($G$329-$L$329)/5)</f>
        <v>81.745774177395873</v>
      </c>
      <c r="J329" s="100">
        <f t="shared" si="135"/>
        <v>81.54234235508072</v>
      </c>
      <c r="K329" s="100">
        <f t="shared" si="135"/>
        <v>81.338910532765567</v>
      </c>
      <c r="L329" s="109">
        <f>AVERAGE(AVERAGE(D329:G329),G329)</f>
        <v>81.1354787104504</v>
      </c>
      <c r="M329" s="30"/>
      <c r="N329" s="10"/>
    </row>
    <row r="330" spans="1:14" x14ac:dyDescent="0.25">
      <c r="A330" s="1" t="s">
        <v>90</v>
      </c>
      <c r="B330" s="36"/>
      <c r="C330" s="13"/>
      <c r="D330" s="100">
        <f t="shared" ref="D330:G331" si="136">D415</f>
        <v>2467</v>
      </c>
      <c r="E330" s="100">
        <f t="shared" si="136"/>
        <v>2035</v>
      </c>
      <c r="F330" s="100">
        <f t="shared" si="136"/>
        <v>1632</v>
      </c>
      <c r="G330" s="100">
        <f t="shared" si="136"/>
        <v>1941</v>
      </c>
      <c r="H330" s="100">
        <f>H203</f>
        <v>1941</v>
      </c>
      <c r="I330" s="100">
        <f>I203</f>
        <v>1941</v>
      </c>
      <c r="J330" s="100">
        <f>J203</f>
        <v>1941</v>
      </c>
      <c r="K330" s="100">
        <f>K203</f>
        <v>1941</v>
      </c>
      <c r="L330" s="100">
        <f>L203</f>
        <v>1941</v>
      </c>
      <c r="M330" s="30"/>
      <c r="N330" s="10"/>
    </row>
    <row r="331" spans="1:14" x14ac:dyDescent="0.25">
      <c r="A331" s="1" t="s">
        <v>119</v>
      </c>
      <c r="B331" s="36"/>
      <c r="C331" s="13"/>
      <c r="D331" s="100">
        <f t="shared" si="136"/>
        <v>3320</v>
      </c>
      <c r="E331" s="100">
        <f t="shared" si="136"/>
        <v>3092</v>
      </c>
      <c r="F331" s="100">
        <f t="shared" si="136"/>
        <v>3388</v>
      </c>
      <c r="G331" s="100">
        <f t="shared" si="136"/>
        <v>4392</v>
      </c>
      <c r="H331" s="100">
        <f>G331</f>
        <v>4392</v>
      </c>
      <c r="I331" s="100">
        <f>H331</f>
        <v>4392</v>
      </c>
      <c r="J331" s="100">
        <f t="shared" ref="J331:L331" si="137">I331</f>
        <v>4392</v>
      </c>
      <c r="K331" s="100">
        <f t="shared" si="137"/>
        <v>4392</v>
      </c>
      <c r="L331" s="100">
        <f t="shared" si="137"/>
        <v>4392</v>
      </c>
      <c r="M331" s="30"/>
      <c r="N331" s="10"/>
    </row>
    <row r="332" spans="1:14" x14ac:dyDescent="0.25">
      <c r="A332" s="1" t="s">
        <v>211</v>
      </c>
      <c r="B332" s="36"/>
      <c r="C332" s="13"/>
      <c r="D332" s="100">
        <f>SUM(D325:D331)-D327-D329</f>
        <v>74918</v>
      </c>
      <c r="E332" s="100">
        <f t="shared" ref="E332:G332" si="138">SUM(E325:E331)-E327-E329</f>
        <v>85083.999999999985</v>
      </c>
      <c r="F332" s="100">
        <f t="shared" si="138"/>
        <v>101466</v>
      </c>
      <c r="G332" s="100">
        <f t="shared" si="138"/>
        <v>114246</v>
      </c>
      <c r="H332" s="100">
        <f t="shared" ref="H332" si="139">SUM(H325:H331)-H327-H329</f>
        <v>122674.79850614254</v>
      </c>
      <c r="I332" s="100">
        <f t="shared" ref="I332" si="140">SUM(I325:I331)-I327-I329</f>
        <v>129893.53556575181</v>
      </c>
      <c r="J332" s="100">
        <f t="shared" ref="J332" si="141">SUM(J325:J331)-J327-J329</f>
        <v>138363.29128528546</v>
      </c>
      <c r="K332" s="100">
        <f t="shared" ref="K332" si="142">SUM(K325:K331)-K327-K329</f>
        <v>147132.91808417242</v>
      </c>
      <c r="L332" s="100">
        <f t="shared" ref="L332" si="143">SUM(L325:L331)-L327-L329</f>
        <v>155773.12066857232</v>
      </c>
      <c r="M332" s="30"/>
      <c r="N332" s="10"/>
    </row>
    <row r="333" spans="1:14" x14ac:dyDescent="0.25">
      <c r="A333" s="4" t="s">
        <v>230</v>
      </c>
      <c r="B333" s="36"/>
      <c r="C333" s="13"/>
      <c r="D333" s="102">
        <f>D224</f>
        <v>74918</v>
      </c>
      <c r="E333" s="102">
        <f>E224</f>
        <v>85084</v>
      </c>
      <c r="F333" s="102">
        <f>F224</f>
        <v>101466</v>
      </c>
      <c r="G333" s="102">
        <f>G224</f>
        <v>114246</v>
      </c>
      <c r="H333" s="100"/>
      <c r="I333" s="100"/>
      <c r="J333" s="100"/>
      <c r="K333" s="100"/>
      <c r="L333" s="100"/>
      <c r="M333" s="30"/>
      <c r="N333" s="10"/>
    </row>
    <row r="334" spans="1:14" x14ac:dyDescent="0.25">
      <c r="A334" s="1"/>
      <c r="B334" s="36"/>
      <c r="C334" s="13"/>
      <c r="D334" s="101"/>
      <c r="E334" s="101"/>
      <c r="F334" s="101"/>
      <c r="G334" s="101"/>
      <c r="H334" s="100"/>
      <c r="I334" s="100"/>
      <c r="J334" s="100"/>
      <c r="K334" s="100"/>
      <c r="L334" s="100"/>
      <c r="M334" s="30"/>
      <c r="N334" s="10"/>
    </row>
    <row r="335" spans="1:14" x14ac:dyDescent="0.25">
      <c r="A335" s="1" t="s">
        <v>433</v>
      </c>
      <c r="B335" s="36"/>
      <c r="C335" s="13"/>
      <c r="D335" s="101">
        <f>IF(ISERROR(VLOOKUP("Cash and Equivalents",Annual!$A$246:$E$324,5,0)),0, VLOOKUP("Cash and Equivalents",Annual!$A$246:$E$324,5,0))</f>
        <v>9610</v>
      </c>
      <c r="E335" s="101">
        <f>IF(ISERROR(VLOOKUP("Cash and Equivalents",Annual!$A$246:$E$324,4,0)),0, VLOOKUP("Cash and Equivalents",Annual!$A$246:$E$324,4,0))</f>
        <v>6938</v>
      </c>
      <c r="F335" s="101">
        <f>IF(ISERROR(VLOOKUP("Cash and Equivalents",Annual!$A$246:$E$324,3,0)),0, VLOOKUP("Cash and Equivalents",Annual!$A$246:$E$324,3,0))</f>
        <v>3804</v>
      </c>
      <c r="G335" s="101">
        <f>IF(ISERROR(VLOOKUP("Cash and Equivalents",Annual!$A$246:$E$324,2,0)),0, VLOOKUP("Cash and Equivalents",Annual!$A$246:$E$324,2,0))</f>
        <v>8669</v>
      </c>
      <c r="H335" s="100"/>
      <c r="I335" s="100"/>
      <c r="J335" s="100"/>
      <c r="K335" s="100"/>
      <c r="L335" s="100"/>
      <c r="M335" s="30"/>
      <c r="N335" s="10"/>
    </row>
    <row r="336" spans="1:14" x14ac:dyDescent="0.25">
      <c r="A336" s="1" t="s">
        <v>434</v>
      </c>
      <c r="B336" s="36"/>
      <c r="C336" s="13"/>
      <c r="D336" s="101">
        <f>IF(ISERROR(VLOOKUP("Restricted Cash",Annual!$A$246:$E$324,5,0)),0,VLOOKUP("Restricted Cash",Annual!$A$246:$E$324,5,0))</f>
        <v>0</v>
      </c>
      <c r="E336" s="101">
        <f>IF(ISERROR(VLOOKUP("Restricted Cash",Annual!$A$246:$E$324,4,0)),0,VLOOKUP("Restricted Cash",Annual!$A$246:$E$324,4,0))</f>
        <v>0</v>
      </c>
      <c r="F336" s="101">
        <f>IF(ISERROR(VLOOKUP("Restricted Cash",Annual!$A$246:$E$324,3,0)),0,VLOOKUP("Restricted Cash",Annual!$A$246:$E$324,3,0))</f>
        <v>0</v>
      </c>
      <c r="G336" s="101">
        <f>IF(ISERROR(VLOOKUP("Restricted Cash",Annual!$A$246:$E$324,2,0)),0,VLOOKUP("Restricted Cash",Annual!$A$246:$E$324,2,0))</f>
        <v>0</v>
      </c>
      <c r="H336" s="100"/>
      <c r="I336" s="100"/>
      <c r="J336" s="100"/>
      <c r="K336" s="100"/>
      <c r="L336" s="100"/>
      <c r="M336" s="30"/>
      <c r="N336" s="10">
        <f>N339/G197-1</f>
        <v>0.11894483135824996</v>
      </c>
    </row>
    <row r="337" spans="1:15" x14ac:dyDescent="0.25">
      <c r="A337" s="1" t="s">
        <v>326</v>
      </c>
      <c r="B337" s="36"/>
      <c r="C337" s="13"/>
      <c r="D337" s="101">
        <f>IF(ISERROR(VLOOKUP("Marketable Securities",Annual!$A$246:$E$324,5,0)),0,VLOOKUP("Marketable Securities",Annual!$A$246:$E$324,5,0))</f>
        <v>43162</v>
      </c>
      <c r="E337" s="101">
        <f>IF(ISERROR(VLOOKUP("Marketable Securities",Annual!$A$246:$E$324,4,0)),0,VLOOKUP("Marketable Securities",Annual!$A$246:$E$324,4,0))</f>
        <v>56102</v>
      </c>
      <c r="F337" s="101">
        <f>IF(ISERROR(VLOOKUP("Marketable Securities",Annual!$A$246:$E$324,3,0)),0,VLOOKUP("Marketable Securities",Annual!$A$246:$E$324,3,0))</f>
        <v>73218</v>
      </c>
      <c r="G337" s="101">
        <f>IF(ISERROR(VLOOKUP("Marketable Securities",Annual!$A$246:$E$324,2,0)),0,VLOOKUP("Marketable Securities",Annual!$A$246:$E$324,2,0))</f>
        <v>77040</v>
      </c>
      <c r="H337" s="100"/>
      <c r="I337" s="100"/>
      <c r="J337" s="100"/>
      <c r="K337" s="100"/>
      <c r="L337" s="100"/>
      <c r="M337" s="30"/>
      <c r="N337" s="10"/>
    </row>
    <row r="338" spans="1:15" x14ac:dyDescent="0.25">
      <c r="A338" s="1"/>
      <c r="B338" s="36"/>
      <c r="C338" s="13"/>
      <c r="D338" s="101"/>
      <c r="E338" s="101"/>
      <c r="F338" s="101"/>
      <c r="G338" s="101"/>
      <c r="H338" s="100"/>
      <c r="I338" s="100"/>
      <c r="J338" s="100"/>
      <c r="K338" s="100"/>
      <c r="L338" s="100"/>
      <c r="M338" s="30"/>
      <c r="N338" s="44">
        <f>G341</f>
        <v>13011</v>
      </c>
    </row>
    <row r="339" spans="1:15" x14ac:dyDescent="0.25">
      <c r="A339" s="169" t="s">
        <v>337</v>
      </c>
      <c r="B339" s="36"/>
      <c r="C339" s="13"/>
      <c r="D339" s="146">
        <f>VLOOKUP(A339,Annual!$A$246:$E$324, 5,0)</f>
        <v>17991</v>
      </c>
      <c r="E339" s="146">
        <f>VLOOKUP(A339,Annual!$A$246:$E$324, 4,0)</f>
        <v>19231</v>
      </c>
      <c r="F339" s="146">
        <f>VLOOKUP(A339,Annual!$A$246:$E$324, 3,0)</f>
        <v>22504</v>
      </c>
      <c r="G339" s="146">
        <f>VLOOKUP(A339,Annual!$A$246:$E$324, 2,0)</f>
        <v>27804</v>
      </c>
      <c r="H339" s="100">
        <f>G339-H286-0.5*H288</f>
        <v>33747.546000000002</v>
      </c>
      <c r="I339" s="100">
        <f t="shared" ref="I339:L339" si="144">H339-I286-0.5*I288</f>
        <v>39958.551570000003</v>
      </c>
      <c r="J339" s="100">
        <f t="shared" si="144"/>
        <v>46388.424636525873</v>
      </c>
      <c r="K339" s="100">
        <f t="shared" si="144"/>
        <v>52931.057947448251</v>
      </c>
      <c r="L339" s="100">
        <f t="shared" si="144"/>
        <v>59484.878505574619</v>
      </c>
      <c r="M339" s="30"/>
      <c r="N339" s="44">
        <f>N341-N338+N340</f>
        <v>6137.4124000000011</v>
      </c>
      <c r="O339" s="83" t="s">
        <v>447</v>
      </c>
    </row>
    <row r="340" spans="1:15" x14ac:dyDescent="0.25">
      <c r="A340" s="169" t="s">
        <v>418</v>
      </c>
      <c r="B340" s="36"/>
      <c r="C340" s="13"/>
      <c r="D340" s="146">
        <f>-VLOOKUP("Accumulated Depreciation and Depletion",Annual!$A$246:$E$324, 5,0)</f>
        <v>-9829</v>
      </c>
      <c r="E340" s="146">
        <f>-VLOOKUP("Accumulated Depreciation and Depletion",Annual!$A$246:$E$324, 4,0)</f>
        <v>-10962</v>
      </c>
      <c r="F340" s="146">
        <f>-VLOOKUP("Accumulated Depreciation and Depletion",Annual!$A$246:$E$324, 3,0)</f>
        <v>-12513</v>
      </c>
      <c r="G340" s="146">
        <f>-VLOOKUP("Accumulated Depreciation and Depletion",Annual!$A$246:$E$324, 2,0)</f>
        <v>-14793</v>
      </c>
      <c r="H340" s="100">
        <f>G340-H95</f>
        <v>-20409.972399999999</v>
      </c>
      <c r="I340" s="100">
        <f>H340-I95</f>
        <v>-25982.009020799997</v>
      </c>
      <c r="J340" s="100">
        <f>I340-J95</f>
        <v>-31955.232278297597</v>
      </c>
      <c r="K340" s="100">
        <f>J340-K95</f>
        <v>-38256.982814957562</v>
      </c>
      <c r="L340" s="100">
        <f>K340-L95</f>
        <v>-44810.803373083931</v>
      </c>
      <c r="M340" s="30"/>
      <c r="N340" s="44">
        <f>H95</f>
        <v>5616.9724000000006</v>
      </c>
      <c r="O340" s="83" t="s">
        <v>448</v>
      </c>
    </row>
    <row r="341" spans="1:15" s="179" customFormat="1" ht="22.5" customHeight="1" x14ac:dyDescent="0.35">
      <c r="A341" s="175" t="s">
        <v>212</v>
      </c>
      <c r="B341" s="176"/>
      <c r="C341" s="175"/>
      <c r="D341" s="177">
        <f>SUM(D339:D340)</f>
        <v>8162</v>
      </c>
      <c r="E341" s="177">
        <f t="shared" ref="E341:G341" si="145">SUM(E339:E340)</f>
        <v>8269</v>
      </c>
      <c r="F341" s="177">
        <f t="shared" si="145"/>
        <v>9991</v>
      </c>
      <c r="G341" s="177">
        <f t="shared" si="145"/>
        <v>13011</v>
      </c>
      <c r="H341" s="177">
        <f>SUM(H339:H340)</f>
        <v>13337.573600000003</v>
      </c>
      <c r="I341" s="177">
        <f t="shared" ref="I341:L341" si="146">SUM(I339:I340)</f>
        <v>13976.542549200007</v>
      </c>
      <c r="J341" s="177">
        <f t="shared" si="146"/>
        <v>14433.192358228276</v>
      </c>
      <c r="K341" s="177">
        <f t="shared" si="146"/>
        <v>14674.075132490689</v>
      </c>
      <c r="L341" s="177">
        <f t="shared" si="146"/>
        <v>14674.075132490689</v>
      </c>
      <c r="M341" s="178"/>
      <c r="N341" s="186">
        <f>N338*(1+O342)</f>
        <v>13531.44</v>
      </c>
    </row>
    <row r="342" spans="1:15" x14ac:dyDescent="0.25">
      <c r="A342" s="4" t="s">
        <v>111</v>
      </c>
      <c r="B342" s="36"/>
      <c r="C342" s="13"/>
      <c r="D342" s="100">
        <f>D417</f>
        <v>8162</v>
      </c>
      <c r="E342" s="100">
        <f t="shared" ref="E342:L342" si="147">E417</f>
        <v>8269</v>
      </c>
      <c r="F342" s="100">
        <f t="shared" si="147"/>
        <v>9991</v>
      </c>
      <c r="G342" s="100">
        <f t="shared" si="147"/>
        <v>13011</v>
      </c>
      <c r="H342" s="100">
        <f t="shared" si="147"/>
        <v>13337.573599999998</v>
      </c>
      <c r="I342" s="100">
        <f t="shared" si="147"/>
        <v>13976.542549199998</v>
      </c>
      <c r="J342" s="100">
        <f t="shared" si="147"/>
        <v>14433.192358228265</v>
      </c>
      <c r="K342" s="100">
        <f t="shared" si="147"/>
        <v>14674.075132490674</v>
      </c>
      <c r="L342" s="100">
        <f t="shared" si="147"/>
        <v>14674.075132490674</v>
      </c>
      <c r="M342" s="30"/>
      <c r="N342" s="10"/>
      <c r="O342">
        <v>0.04</v>
      </c>
    </row>
    <row r="343" spans="1:15" x14ac:dyDescent="0.25">
      <c r="A343" s="4"/>
      <c r="B343" s="36"/>
      <c r="C343" s="13"/>
      <c r="D343" s="100"/>
      <c r="E343" s="100"/>
      <c r="F343" s="100"/>
      <c r="G343" s="100"/>
      <c r="H343" s="100"/>
      <c r="I343" s="100"/>
      <c r="J343" s="100"/>
      <c r="K343" s="100"/>
      <c r="L343" s="100"/>
      <c r="M343" s="30"/>
      <c r="N343" s="10"/>
    </row>
    <row r="344" spans="1:15" x14ac:dyDescent="0.25">
      <c r="A344" s="4" t="s">
        <v>232</v>
      </c>
      <c r="B344" s="36"/>
      <c r="C344" s="13"/>
      <c r="D344" s="100"/>
      <c r="E344" s="110">
        <f>E341/D341-1</f>
        <v>1.3109531977456568E-2</v>
      </c>
      <c r="F344" s="110">
        <f t="shared" ref="F344:L344" si="148">F341/E341-1</f>
        <v>0.20824767202805661</v>
      </c>
      <c r="G344" s="110">
        <f t="shared" si="148"/>
        <v>0.30227204484035641</v>
      </c>
      <c r="H344" s="187">
        <f t="shared" si="148"/>
        <v>2.5099807854892298E-2</v>
      </c>
      <c r="I344" s="187">
        <f t="shared" si="148"/>
        <v>4.7907435667309262E-2</v>
      </c>
      <c r="J344" s="187">
        <f t="shared" si="148"/>
        <v>3.2672587474389836E-2</v>
      </c>
      <c r="K344" s="187">
        <f t="shared" si="148"/>
        <v>1.6689500720544759E-2</v>
      </c>
      <c r="L344" s="187">
        <f t="shared" si="148"/>
        <v>0</v>
      </c>
      <c r="M344" s="30"/>
      <c r="N344" s="10"/>
    </row>
    <row r="345" spans="1:15" x14ac:dyDescent="0.25">
      <c r="A345" s="1"/>
      <c r="B345" s="36"/>
      <c r="C345" s="13"/>
      <c r="D345" s="101"/>
      <c r="E345" s="101"/>
      <c r="F345" s="101"/>
      <c r="G345" s="101"/>
      <c r="H345" s="100"/>
      <c r="I345" s="100"/>
      <c r="J345" s="100"/>
      <c r="K345" s="100"/>
      <c r="L345" s="100"/>
      <c r="M345" s="30"/>
      <c r="N345" s="10"/>
    </row>
    <row r="346" spans="1:15" x14ac:dyDescent="0.25">
      <c r="A346" s="1" t="s">
        <v>92</v>
      </c>
      <c r="B346" s="36"/>
      <c r="C346" s="13"/>
      <c r="D346" s="100">
        <f>D418</f>
        <v>12581</v>
      </c>
      <c r="E346" s="100">
        <f t="shared" ref="E346:G346" si="149">E418</f>
        <v>13452</v>
      </c>
      <c r="F346" s="100">
        <f t="shared" si="149"/>
        <v>14655</v>
      </c>
      <c r="G346" s="100">
        <f t="shared" si="149"/>
        <v>20127</v>
      </c>
      <c r="H346" s="100">
        <f>H418</f>
        <v>20127</v>
      </c>
      <c r="I346" s="100">
        <f t="shared" ref="I346:L346" si="150">I418</f>
        <v>20127</v>
      </c>
      <c r="J346" s="100">
        <f t="shared" si="150"/>
        <v>20127</v>
      </c>
      <c r="K346" s="100">
        <f t="shared" si="150"/>
        <v>20127</v>
      </c>
      <c r="L346" s="100">
        <f t="shared" si="150"/>
        <v>20127</v>
      </c>
      <c r="M346" s="30"/>
      <c r="N346" s="10"/>
    </row>
    <row r="347" spans="1:15" x14ac:dyDescent="0.25">
      <c r="A347" s="1" t="s">
        <v>93</v>
      </c>
      <c r="B347" s="36"/>
      <c r="C347" s="13"/>
      <c r="D347" s="100">
        <f t="shared" ref="D347:H347" si="151">D419</f>
        <v>744</v>
      </c>
      <c r="E347" s="100">
        <f t="shared" si="151"/>
        <v>3170</v>
      </c>
      <c r="F347" s="100">
        <f t="shared" si="151"/>
        <v>3083</v>
      </c>
      <c r="G347" s="100">
        <f t="shared" si="151"/>
        <v>6981</v>
      </c>
      <c r="H347" s="100">
        <f t="shared" si="151"/>
        <v>6981</v>
      </c>
      <c r="I347" s="100">
        <f t="shared" ref="I347:L347" si="152">I419</f>
        <v>6981</v>
      </c>
      <c r="J347" s="100">
        <f t="shared" si="152"/>
        <v>6981</v>
      </c>
      <c r="K347" s="100">
        <f t="shared" si="152"/>
        <v>6981</v>
      </c>
      <c r="L347" s="100">
        <f t="shared" si="152"/>
        <v>6981</v>
      </c>
      <c r="M347" s="30"/>
      <c r="N347" s="10"/>
    </row>
    <row r="348" spans="1:15" x14ac:dyDescent="0.25">
      <c r="A348" s="1" t="s">
        <v>209</v>
      </c>
      <c r="B348" s="36"/>
      <c r="C348" s="13"/>
      <c r="D348" s="100">
        <f t="shared" ref="D348:H348" si="153">D420</f>
        <v>0</v>
      </c>
      <c r="E348" s="100">
        <f t="shared" si="153"/>
        <v>0</v>
      </c>
      <c r="F348" s="100">
        <f t="shared" si="153"/>
        <v>0</v>
      </c>
      <c r="G348" s="100">
        <f t="shared" si="153"/>
        <v>0</v>
      </c>
      <c r="H348" s="100">
        <f t="shared" si="153"/>
        <v>0</v>
      </c>
      <c r="I348" s="100">
        <f t="shared" ref="I348:L348" si="154">I420</f>
        <v>0</v>
      </c>
      <c r="J348" s="100">
        <f t="shared" si="154"/>
        <v>0</v>
      </c>
      <c r="K348" s="100">
        <f t="shared" si="154"/>
        <v>0</v>
      </c>
      <c r="L348" s="100">
        <f t="shared" si="154"/>
        <v>0</v>
      </c>
      <c r="M348" s="30"/>
      <c r="N348" s="10"/>
    </row>
    <row r="349" spans="1:15" x14ac:dyDescent="0.25">
      <c r="A349" s="1" t="s">
        <v>210</v>
      </c>
      <c r="B349" s="36"/>
      <c r="C349" s="13"/>
      <c r="D349" s="100">
        <f t="shared" ref="D349:H349" si="155">D421</f>
        <v>12299</v>
      </c>
      <c r="E349" s="100">
        <f t="shared" si="155"/>
        <v>11296</v>
      </c>
      <c r="F349" s="100">
        <f t="shared" si="155"/>
        <v>13236</v>
      </c>
      <c r="G349" s="100">
        <f t="shared" si="155"/>
        <v>18019</v>
      </c>
      <c r="H349" s="100">
        <f t="shared" si="155"/>
        <v>18019</v>
      </c>
      <c r="I349" s="100">
        <f t="shared" ref="I349:L349" si="156">I421</f>
        <v>18019</v>
      </c>
      <c r="J349" s="100">
        <f t="shared" si="156"/>
        <v>18019</v>
      </c>
      <c r="K349" s="100">
        <f t="shared" si="156"/>
        <v>18019</v>
      </c>
      <c r="L349" s="100">
        <f t="shared" si="156"/>
        <v>18019</v>
      </c>
      <c r="M349" s="30"/>
      <c r="N349" s="10"/>
    </row>
    <row r="350" spans="1:15" x14ac:dyDescent="0.25">
      <c r="A350" s="1" t="s">
        <v>214</v>
      </c>
      <c r="B350" s="36"/>
      <c r="C350" s="36" t="s">
        <v>231</v>
      </c>
      <c r="D350" s="100">
        <v>0</v>
      </c>
      <c r="E350" s="100">
        <v>0</v>
      </c>
      <c r="F350" s="100">
        <v>0</v>
      </c>
      <c r="G350" s="100">
        <v>0</v>
      </c>
      <c r="H350" s="100">
        <f>G350</f>
        <v>0</v>
      </c>
      <c r="I350" s="100">
        <f t="shared" ref="I350:L350" si="157">H350</f>
        <v>0</v>
      </c>
      <c r="J350" s="100">
        <f t="shared" si="157"/>
        <v>0</v>
      </c>
      <c r="K350" s="100">
        <f t="shared" si="157"/>
        <v>0</v>
      </c>
      <c r="L350" s="100">
        <f t="shared" si="157"/>
        <v>0</v>
      </c>
      <c r="M350" s="30"/>
      <c r="N350" s="10"/>
    </row>
    <row r="351" spans="1:15" x14ac:dyDescent="0.25">
      <c r="A351" s="27" t="s">
        <v>66</v>
      </c>
      <c r="B351" s="36"/>
      <c r="C351" s="13"/>
      <c r="D351" s="100">
        <f>D332+D341+SUM(D346:D349)</f>
        <v>108704</v>
      </c>
      <c r="E351" s="100">
        <f t="shared" ref="E351:G351" si="158">E332+E341+SUM(E346:E349)</f>
        <v>121270.99999999999</v>
      </c>
      <c r="F351" s="100">
        <f t="shared" si="158"/>
        <v>142431</v>
      </c>
      <c r="G351" s="100">
        <f t="shared" si="158"/>
        <v>172384</v>
      </c>
      <c r="H351" s="100">
        <f>H332+H341+SUM(H346:H349)+H350</f>
        <v>181139.37210614255</v>
      </c>
      <c r="I351" s="100">
        <f t="shared" ref="I351:L351" si="159">I332+I341+SUM(I346:I349)+I350</f>
        <v>188997.07811495182</v>
      </c>
      <c r="J351" s="100">
        <f t="shared" si="159"/>
        <v>197923.48364351375</v>
      </c>
      <c r="K351" s="100">
        <f t="shared" si="159"/>
        <v>206933.9932166631</v>
      </c>
      <c r="L351" s="100">
        <f t="shared" si="159"/>
        <v>215574.195801063</v>
      </c>
      <c r="M351" s="30"/>
      <c r="N351" s="10"/>
    </row>
    <row r="352" spans="1:15" x14ac:dyDescent="0.25">
      <c r="A352" s="10" t="s">
        <v>66</v>
      </c>
      <c r="B352" s="18"/>
      <c r="C352" s="18"/>
      <c r="D352" s="54">
        <f>D351</f>
        <v>108704</v>
      </c>
      <c r="E352" s="54">
        <f t="shared" ref="E352:G352" si="160">E351</f>
        <v>121270.99999999999</v>
      </c>
      <c r="F352" s="54">
        <f t="shared" si="160"/>
        <v>142431</v>
      </c>
      <c r="G352" s="54">
        <f t="shared" si="160"/>
        <v>172384</v>
      </c>
      <c r="H352" s="113"/>
      <c r="I352" s="113"/>
      <c r="J352" s="113"/>
      <c r="K352" s="113"/>
      <c r="L352" s="113"/>
      <c r="M352" s="1"/>
      <c r="N352" s="1"/>
    </row>
    <row r="353" spans="1:14" x14ac:dyDescent="0.25">
      <c r="A353" s="4" t="s">
        <v>213</v>
      </c>
      <c r="B353" s="36"/>
      <c r="C353" s="13"/>
      <c r="D353" s="153"/>
      <c r="E353" s="153"/>
      <c r="F353" s="153"/>
      <c r="G353" s="153"/>
      <c r="H353" s="100"/>
      <c r="I353" s="100"/>
      <c r="J353" s="100"/>
      <c r="K353" s="100"/>
      <c r="L353" s="100"/>
      <c r="M353" s="30"/>
      <c r="N353" s="10"/>
    </row>
    <row r="354" spans="1:14" x14ac:dyDescent="0.25">
      <c r="A354" s="27"/>
      <c r="B354" s="36"/>
      <c r="C354" s="13"/>
      <c r="D354" s="101"/>
      <c r="E354" s="101"/>
      <c r="F354" s="101"/>
      <c r="G354" s="101"/>
      <c r="H354" s="100"/>
      <c r="I354" s="100"/>
      <c r="J354" s="100"/>
      <c r="K354" s="100"/>
      <c r="L354" s="100"/>
      <c r="M354" s="30"/>
      <c r="N354" s="10"/>
    </row>
    <row r="355" spans="1:14" x14ac:dyDescent="0.25">
      <c r="A355" s="27" t="s">
        <v>215</v>
      </c>
      <c r="B355" s="36"/>
      <c r="C355" s="13"/>
      <c r="D355" s="101"/>
      <c r="E355" s="101"/>
      <c r="F355" s="101"/>
      <c r="G355" s="101"/>
      <c r="H355" s="100"/>
      <c r="I355" s="100"/>
      <c r="J355" s="100"/>
      <c r="K355" s="100"/>
      <c r="L355" s="100"/>
      <c r="M355" s="30"/>
      <c r="N355" s="10"/>
    </row>
    <row r="356" spans="1:14" x14ac:dyDescent="0.25">
      <c r="A356" s="1" t="s">
        <v>14</v>
      </c>
      <c r="B356" s="36"/>
      <c r="C356" s="13"/>
      <c r="D356" s="100">
        <f>D424</f>
        <v>5405</v>
      </c>
      <c r="E356" s="100">
        <f>E424</f>
        <v>4989</v>
      </c>
      <c r="F356" s="100">
        <f>F424</f>
        <v>5473</v>
      </c>
      <c r="G356" s="100">
        <f>G424</f>
        <v>7990</v>
      </c>
      <c r="H356" s="100">
        <f>(H77+H326-G326)/365*H357</f>
        <v>9336.3959932757771</v>
      </c>
      <c r="I356" s="100">
        <f>(I77+I326-H326)/365*I357</f>
        <v>8753.8118830366056</v>
      </c>
      <c r="J356" s="100">
        <f>(J77+J326-I326)/365*J357</f>
        <v>9346.7921301258102</v>
      </c>
      <c r="K356" s="100">
        <f>(K77+K326-J326)/365*K357</f>
        <v>9707.9379998344721</v>
      </c>
      <c r="L356" s="100">
        <f>(L77+L326-K326)/365*L357</f>
        <v>9938.9856111628305</v>
      </c>
      <c r="M356" s="30"/>
      <c r="N356" s="10"/>
    </row>
    <row r="357" spans="1:14" x14ac:dyDescent="0.25">
      <c r="A357" s="1" t="s">
        <v>394</v>
      </c>
      <c r="B357" s="36"/>
      <c r="C357" s="13"/>
      <c r="D357" s="100">
        <f>IF(ISERROR(365/(D77/D205)), 0, 365/(D77/D205))</f>
        <v>126.64986839571164</v>
      </c>
      <c r="E357" s="100">
        <f>IF(ISERROR(365/(E77/E205)), 0, 365/(E77/E205))</f>
        <v>103.8782087849401</v>
      </c>
      <c r="F357" s="100">
        <f>IF(ISERROR(365/(F77/F205)), 0, 365/(F77/F205))</f>
        <v>98.654007605313836</v>
      </c>
      <c r="G357" s="100">
        <f>IF(ISERROR(365/(G77/G205)), 0, 365/(G77/G205))</f>
        <v>108.2776416425336</v>
      </c>
      <c r="H357" s="100">
        <f>G357-(($G$357-$L$357)/5)</f>
        <v>108.38637063899272</v>
      </c>
      <c r="I357" s="100">
        <f t="shared" ref="I357:K357" si="161">H357-(($G$357-$L$357)/5)</f>
        <v>108.49509963545184</v>
      </c>
      <c r="J357" s="100">
        <f t="shared" si="161"/>
        <v>108.60382863191096</v>
      </c>
      <c r="K357" s="100">
        <f t="shared" si="161"/>
        <v>108.71255762837008</v>
      </c>
      <c r="L357" s="109">
        <f>AVERAGE(AVERAGE(D357:G357),G357)</f>
        <v>108.82128662482918</v>
      </c>
      <c r="M357" s="30"/>
      <c r="N357" s="10"/>
    </row>
    <row r="358" spans="1:14" x14ac:dyDescent="0.25">
      <c r="A358" s="1" t="s">
        <v>94</v>
      </c>
      <c r="B358" s="36"/>
      <c r="C358" s="13"/>
      <c r="D358" s="100">
        <f>D425</f>
        <v>3575</v>
      </c>
      <c r="E358" s="100">
        <f t="shared" ref="E358:G358" si="162">E425</f>
        <v>3875</v>
      </c>
      <c r="F358" s="100">
        <f t="shared" si="162"/>
        <v>4117</v>
      </c>
      <c r="G358" s="100">
        <f t="shared" si="162"/>
        <v>4797</v>
      </c>
      <c r="H358" s="100">
        <f>H206</f>
        <v>4329.9386235633592</v>
      </c>
      <c r="I358" s="100">
        <f>I206</f>
        <v>4539.6875651260798</v>
      </c>
      <c r="J358" s="100">
        <f>J206</f>
        <v>4545.3507004689054</v>
      </c>
      <c r="K358" s="100">
        <f>K206</f>
        <v>4611.9287893006476</v>
      </c>
      <c r="L358" s="100">
        <f>L206</f>
        <v>4638.4887166829922</v>
      </c>
      <c r="M358" s="30"/>
      <c r="N358" s="10"/>
    </row>
    <row r="359" spans="1:14" x14ac:dyDescent="0.25">
      <c r="A359" s="169" t="s">
        <v>217</v>
      </c>
      <c r="B359" s="36"/>
      <c r="C359" s="13"/>
      <c r="D359" s="146">
        <f>SUM(D365:D366)</f>
        <v>0</v>
      </c>
      <c r="E359" s="146">
        <f t="shared" ref="E359:G359" si="163">SUM(E365:E366)</f>
        <v>1231</v>
      </c>
      <c r="F359" s="146">
        <f t="shared" si="163"/>
        <v>2999</v>
      </c>
      <c r="G359" s="146">
        <f t="shared" si="163"/>
        <v>2000</v>
      </c>
      <c r="H359" s="100">
        <f>G359</f>
        <v>2000</v>
      </c>
      <c r="I359" s="100">
        <f t="shared" ref="I359:L359" si="164">H359</f>
        <v>2000</v>
      </c>
      <c r="J359" s="100">
        <f t="shared" si="164"/>
        <v>2000</v>
      </c>
      <c r="K359" s="100">
        <f t="shared" si="164"/>
        <v>2000</v>
      </c>
      <c r="L359" s="100">
        <f t="shared" si="164"/>
        <v>2000</v>
      </c>
      <c r="M359" s="30"/>
      <c r="N359" s="10"/>
    </row>
    <row r="360" spans="1:14" x14ac:dyDescent="0.25">
      <c r="A360" s="1" t="s">
        <v>216</v>
      </c>
      <c r="B360" s="36"/>
      <c r="C360" s="13"/>
      <c r="D360" s="103">
        <f>IF(Annual!E82="-", 0, Annual!E82)</f>
        <v>0</v>
      </c>
      <c r="E360" s="103">
        <f>IF(Annual!D82="-", 0, Annual!D82)</f>
        <v>0</v>
      </c>
      <c r="F360" s="103">
        <f>IF(Annual!C82="-", 0, Annual!C82)</f>
        <v>0</v>
      </c>
      <c r="G360" s="103">
        <f>IF(Annual!B82="-", 0, Annual!B82)</f>
        <v>0</v>
      </c>
      <c r="H360" s="100">
        <f>G360</f>
        <v>0</v>
      </c>
      <c r="I360" s="100">
        <f t="shared" ref="I360:L360" si="165">H360</f>
        <v>0</v>
      </c>
      <c r="J360" s="100">
        <f t="shared" si="165"/>
        <v>0</v>
      </c>
      <c r="K360" s="100">
        <f t="shared" si="165"/>
        <v>0</v>
      </c>
      <c r="L360" s="100">
        <f t="shared" si="165"/>
        <v>0</v>
      </c>
      <c r="M360" s="30"/>
      <c r="N360" s="10"/>
    </row>
    <row r="361" spans="1:14" x14ac:dyDescent="0.25">
      <c r="A361" s="1" t="s">
        <v>120</v>
      </c>
      <c r="B361" s="36"/>
      <c r="C361" s="13"/>
      <c r="D361" s="100">
        <f>D426</f>
        <v>19794</v>
      </c>
      <c r="E361" s="100">
        <f t="shared" ref="E361:G361" si="166">E426</f>
        <v>22593</v>
      </c>
      <c r="F361" s="100">
        <f t="shared" si="166"/>
        <v>24828</v>
      </c>
      <c r="G361" s="100">
        <f t="shared" si="166"/>
        <v>30838</v>
      </c>
      <c r="H361" s="100">
        <f>G361</f>
        <v>30838</v>
      </c>
      <c r="I361" s="100">
        <f t="shared" ref="I361:L361" si="167">H361</f>
        <v>30838</v>
      </c>
      <c r="J361" s="100">
        <f t="shared" si="167"/>
        <v>30838</v>
      </c>
      <c r="K361" s="100">
        <f t="shared" si="167"/>
        <v>30838</v>
      </c>
      <c r="L361" s="100">
        <f t="shared" si="167"/>
        <v>30838</v>
      </c>
      <c r="M361" s="30"/>
      <c r="N361" s="10"/>
    </row>
    <row r="362" spans="1:14" x14ac:dyDescent="0.25">
      <c r="A362" s="27" t="s">
        <v>95</v>
      </c>
      <c r="B362" s="36"/>
      <c r="C362" s="13"/>
      <c r="D362" s="100">
        <f>SUM(D356:D361)-D357</f>
        <v>28774</v>
      </c>
      <c r="E362" s="100">
        <f t="shared" ref="E362:L362" si="168">SUM(E356:E361)-E357</f>
        <v>32688</v>
      </c>
      <c r="F362" s="100">
        <f t="shared" si="168"/>
        <v>37417</v>
      </c>
      <c r="G362" s="100">
        <f t="shared" si="168"/>
        <v>45625</v>
      </c>
      <c r="H362" s="100">
        <f t="shared" si="168"/>
        <v>46504.334616839136</v>
      </c>
      <c r="I362" s="100">
        <f t="shared" si="168"/>
        <v>46131.499448162685</v>
      </c>
      <c r="J362" s="100">
        <f t="shared" si="168"/>
        <v>46730.142830594719</v>
      </c>
      <c r="K362" s="100">
        <f t="shared" si="168"/>
        <v>47157.866789135122</v>
      </c>
      <c r="L362" s="100">
        <f t="shared" si="168"/>
        <v>47415.474327845826</v>
      </c>
      <c r="M362" s="30"/>
      <c r="N362" s="10"/>
    </row>
    <row r="363" spans="1:14" x14ac:dyDescent="0.25">
      <c r="A363" s="4" t="s">
        <v>213</v>
      </c>
      <c r="B363" s="36"/>
      <c r="C363" s="13"/>
      <c r="D363" s="102">
        <f>Annual!E84</f>
        <v>0</v>
      </c>
      <c r="E363" s="102">
        <f>Annual!D84</f>
        <v>0</v>
      </c>
      <c r="F363" s="102">
        <f>Annual!C84</f>
        <v>0</v>
      </c>
      <c r="G363" s="102">
        <f>Annual!B84</f>
        <v>0</v>
      </c>
      <c r="H363" s="100"/>
      <c r="I363" s="100"/>
      <c r="J363" s="100"/>
      <c r="K363" s="100"/>
      <c r="L363" s="100"/>
      <c r="M363" s="30"/>
      <c r="N363" s="10"/>
    </row>
    <row r="364" spans="1:14" x14ac:dyDescent="0.25">
      <c r="A364" s="27"/>
      <c r="B364" s="36"/>
      <c r="C364" s="13"/>
      <c r="D364" s="101"/>
      <c r="E364" s="101"/>
      <c r="F364" s="101"/>
      <c r="G364" s="101"/>
      <c r="H364" s="100"/>
      <c r="I364" s="100"/>
      <c r="J364" s="100"/>
      <c r="K364" s="100"/>
      <c r="L364" s="100"/>
      <c r="M364" s="30"/>
      <c r="N364" s="10"/>
    </row>
    <row r="365" spans="1:14" x14ac:dyDescent="0.25">
      <c r="A365" s="1" t="s">
        <v>435</v>
      </c>
      <c r="B365" s="36"/>
      <c r="C365" s="13"/>
      <c r="D365" s="101">
        <f>IF(ISERROR(VLOOKUP("Notes Payable",Annual!$A$246:$E$324,5,0)),0,(VLOOKUP("Notes Payable",Annual!$A$246:$E$324,5,0)))</f>
        <v>0</v>
      </c>
      <c r="E365" s="101">
        <f>IF(ISERROR(VLOOKUP("Notes Payable",Annual!$A$246:$E$324,4,0)),0,(VLOOKUP("Notes Payable",Annual!$A$246:$E$324,4,0)))</f>
        <v>0</v>
      </c>
      <c r="F365" s="101">
        <f>IF(ISERROR(VLOOKUP("Notes Payable",Annual!$A$246:$E$324,3,0)),0,(VLOOKUP("Notes Payable",Annual!$A$246:$E$324,3,0)))</f>
        <v>0</v>
      </c>
      <c r="G365" s="101">
        <f>IF(ISERROR(VLOOKUP("Notes Payable",Annual!$A$246:$E$324,2,0)),0,(VLOOKUP("Notes Payable",Annual!$A$246:$E$324,2,0)))</f>
        <v>0</v>
      </c>
      <c r="H365" s="100"/>
      <c r="I365" s="100"/>
      <c r="J365" s="100"/>
      <c r="K365" s="100"/>
      <c r="L365" s="100"/>
      <c r="M365" s="30"/>
      <c r="N365" s="10"/>
    </row>
    <row r="366" spans="1:14" x14ac:dyDescent="0.25">
      <c r="A366" s="1" t="s">
        <v>345</v>
      </c>
      <c r="B366" s="36"/>
      <c r="C366" s="13"/>
      <c r="D366" s="101">
        <f>IF(ISERROR(VLOOKUP("Short Term Debt",Annual!$A$246:$E$324,5,0)),0,VLOOKUP("Short Term Debt",Annual!$A$246:$E$324,5,0))</f>
        <v>0</v>
      </c>
      <c r="E366" s="101">
        <f>IF(ISERROR(VLOOKUP("Short Term Debt",Annual!$A$246:$E$324,4,0)),0,VLOOKUP("Short Term Debt",Annual!$A$246:$E$324,4,0))</f>
        <v>1231</v>
      </c>
      <c r="F366" s="101">
        <f>IF(ISERROR(VLOOKUP("Short Term Debt",Annual!$A$246:$E$324,3,0)),0,VLOOKUP("Short Term Debt",Annual!$A$246:$E$324,3,0))</f>
        <v>2999</v>
      </c>
      <c r="G366" s="101">
        <f>IF(ISERROR(VLOOKUP("Short Term Debt",Annual!$A$246:$E$324,2,0)),0,VLOOKUP("Short Term Debt",Annual!$A$246:$E$324,2,0))</f>
        <v>2000</v>
      </c>
      <c r="H366" s="100"/>
      <c r="I366" s="100"/>
      <c r="J366" s="100"/>
      <c r="K366" s="100"/>
      <c r="L366" s="100"/>
      <c r="M366" s="30"/>
      <c r="N366" s="10"/>
    </row>
    <row r="367" spans="1:14" x14ac:dyDescent="0.25">
      <c r="A367" s="27"/>
      <c r="B367" s="36"/>
      <c r="C367" s="13"/>
      <c r="D367" s="101"/>
      <c r="E367" s="101"/>
      <c r="F367" s="101"/>
      <c r="G367" s="101"/>
      <c r="H367" s="100"/>
      <c r="I367" s="100"/>
      <c r="J367" s="100"/>
      <c r="K367" s="100"/>
      <c r="L367" s="100"/>
      <c r="M367" s="30"/>
      <c r="N367" s="10"/>
    </row>
    <row r="368" spans="1:14" x14ac:dyDescent="0.25">
      <c r="A368" s="1" t="s">
        <v>218</v>
      </c>
      <c r="B368" s="36"/>
      <c r="C368" s="13"/>
      <c r="D368" s="146">
        <f>SUM(D373:D374)</f>
        <v>11921</v>
      </c>
      <c r="E368" s="146">
        <f t="shared" ref="E368:G368" si="169">SUM(E373:E374)</f>
        <v>10713</v>
      </c>
      <c r="F368" s="146">
        <f t="shared" si="169"/>
        <v>12601</v>
      </c>
      <c r="G368" s="146">
        <f t="shared" si="169"/>
        <v>20645</v>
      </c>
      <c r="H368" s="100">
        <f>G368</f>
        <v>20645</v>
      </c>
      <c r="I368" s="100">
        <f t="shared" ref="I368:L368" si="170">H368</f>
        <v>20645</v>
      </c>
      <c r="J368" s="100">
        <f t="shared" si="170"/>
        <v>20645</v>
      </c>
      <c r="K368" s="100">
        <f t="shared" si="170"/>
        <v>20645</v>
      </c>
      <c r="L368" s="100">
        <f t="shared" si="170"/>
        <v>20645</v>
      </c>
      <c r="M368" s="30"/>
      <c r="N368" s="10"/>
    </row>
    <row r="369" spans="1:14" x14ac:dyDescent="0.25">
      <c r="A369" s="1" t="s">
        <v>10</v>
      </c>
      <c r="B369" s="36"/>
      <c r="C369" s="13"/>
      <c r="D369" s="100">
        <f>D368+D360+D359</f>
        <v>11921</v>
      </c>
      <c r="E369" s="100">
        <f t="shared" ref="E369:G369" si="171">E368+E360+E359</f>
        <v>11944</v>
      </c>
      <c r="F369" s="100">
        <f t="shared" si="171"/>
        <v>15600</v>
      </c>
      <c r="G369" s="100">
        <f t="shared" si="171"/>
        <v>22645</v>
      </c>
      <c r="H369" s="100">
        <f t="shared" ref="H369" si="172">H368+H360+H359</f>
        <v>22645</v>
      </c>
      <c r="I369" s="100">
        <f t="shared" ref="I369" si="173">I368+I360+I359</f>
        <v>22645</v>
      </c>
      <c r="J369" s="100">
        <f t="shared" ref="J369" si="174">J368+J360+J359</f>
        <v>22645</v>
      </c>
      <c r="K369" s="100">
        <f t="shared" ref="K369" si="175">K368+K360+K359</f>
        <v>22645</v>
      </c>
      <c r="L369" s="100">
        <f t="shared" ref="L369" si="176">L368+L360+L359</f>
        <v>22645</v>
      </c>
      <c r="M369" s="30"/>
      <c r="N369" s="10"/>
    </row>
    <row r="370" spans="1:14" x14ac:dyDescent="0.25">
      <c r="A370" s="10" t="s">
        <v>10</v>
      </c>
      <c r="B370" s="18"/>
      <c r="C370" s="18"/>
      <c r="D370" s="103">
        <f>D369</f>
        <v>11921</v>
      </c>
      <c r="E370" s="103">
        <f t="shared" ref="E370:G370" si="177">E369</f>
        <v>11944</v>
      </c>
      <c r="F370" s="103">
        <f t="shared" si="177"/>
        <v>15600</v>
      </c>
      <c r="G370" s="103">
        <f t="shared" si="177"/>
        <v>22645</v>
      </c>
      <c r="H370" s="112">
        <f>G370</f>
        <v>22645</v>
      </c>
      <c r="I370" s="112">
        <f>H370</f>
        <v>22645</v>
      </c>
      <c r="J370" s="112">
        <f>I370</f>
        <v>22645</v>
      </c>
      <c r="K370" s="112">
        <f>J370</f>
        <v>22645</v>
      </c>
      <c r="L370" s="112">
        <f>K370</f>
        <v>22645</v>
      </c>
      <c r="M370" s="18"/>
      <c r="N370" s="10"/>
    </row>
    <row r="371" spans="1:14" x14ac:dyDescent="0.25">
      <c r="A371" s="4" t="s">
        <v>213</v>
      </c>
      <c r="B371" s="36"/>
      <c r="C371" s="13"/>
      <c r="D371" s="102">
        <f>D369-D370</f>
        <v>0</v>
      </c>
      <c r="E371" s="102">
        <f t="shared" ref="E371:G371" si="178">E369-E370</f>
        <v>0</v>
      </c>
      <c r="F371" s="102">
        <f t="shared" si="178"/>
        <v>0</v>
      </c>
      <c r="G371" s="102">
        <f t="shared" si="178"/>
        <v>0</v>
      </c>
      <c r="H371" s="100"/>
      <c r="I371" s="100"/>
      <c r="J371" s="100"/>
      <c r="K371" s="100"/>
      <c r="L371" s="100"/>
      <c r="M371" s="30"/>
      <c r="N371" s="10"/>
    </row>
    <row r="372" spans="1:14" x14ac:dyDescent="0.25">
      <c r="A372" s="27"/>
      <c r="B372" s="36"/>
      <c r="C372" s="13"/>
      <c r="D372" s="101"/>
      <c r="E372" s="101"/>
      <c r="F372" s="101"/>
      <c r="G372" s="101"/>
      <c r="H372" s="100"/>
      <c r="I372" s="100"/>
      <c r="J372" s="100"/>
      <c r="K372" s="100"/>
      <c r="L372" s="100"/>
      <c r="M372" s="30"/>
      <c r="N372" s="10"/>
    </row>
    <row r="373" spans="1:14" x14ac:dyDescent="0.25">
      <c r="A373" s="1" t="s">
        <v>347</v>
      </c>
      <c r="B373" s="36"/>
      <c r="C373" s="13"/>
      <c r="D373" s="101">
        <f>IF(ISERROR(VLOOKUP("Long Term Debt",Annual!$A$246:$E$324,5,0)),0,VLOOKUP("Long Term Debt",Annual!$A$246:$E$324,5,0))</f>
        <v>11921</v>
      </c>
      <c r="E373" s="101">
        <f>IF(ISERROR(VLOOKUP("Long Term Debt",Annual!$A$246:$E$324,4,0)),0,VLOOKUP("Long Term Debt",Annual!$A$246:$E$324,4,0))</f>
        <v>10713</v>
      </c>
      <c r="F373" s="101">
        <f>IF(ISERROR(VLOOKUP("Long Term Debt",Annual!$A$246:$E$324,3,0)),0,VLOOKUP("Long Term Debt",Annual!$A$246:$E$324,3,0))</f>
        <v>12601</v>
      </c>
      <c r="G373" s="101">
        <f>IF(ISERROR(VLOOKUP("Long Term Debt",Annual!$A$246:$E$324,2,0)),0,VLOOKUP("Long Term Debt",Annual!$A$246:$E$324,2,0))</f>
        <v>20645</v>
      </c>
      <c r="H373" s="100"/>
      <c r="I373" s="100"/>
      <c r="J373" s="100"/>
      <c r="K373" s="100"/>
      <c r="L373" s="100"/>
      <c r="M373" s="30"/>
      <c r="N373" s="10"/>
    </row>
    <row r="374" spans="1:14" x14ac:dyDescent="0.25">
      <c r="A374" s="1" t="s">
        <v>401</v>
      </c>
      <c r="B374" s="36"/>
      <c r="C374" s="13"/>
      <c r="D374" s="101">
        <f>IF(ISERROR(VLOOKUP("Capital Lease Obligations",Annual!$A$246:$E$324,5,0)),0,VLOOKUP("Capital Lease Obligations",Annual!$A$246:$E$324,5,0))</f>
        <v>0</v>
      </c>
      <c r="E374" s="101">
        <f>IF(ISERROR(VLOOKUP("Capital Lease Obligations",Annual!$A$246:$E$324,4,0)),0,VLOOKUP("Capital Lease Obligations",Annual!$A$246:$E$324,4,0))</f>
        <v>0</v>
      </c>
      <c r="F374" s="101">
        <f>IF(ISERROR(VLOOKUP("Capital Lease Obligations",Annual!$A$246:$E$324,3,0)),0,VLOOKUP("Capital Lease Obligations",Annual!$A$246:$E$324,3,0))</f>
        <v>0</v>
      </c>
      <c r="G374" s="101">
        <f>IF(ISERROR(VLOOKUP("Capital Lease Obligations",Annual!$A$246:$E$324,2,0)),0,VLOOKUP("Capital Lease Obligations",Annual!$A$246:$E$324,2,0))</f>
        <v>0</v>
      </c>
      <c r="H374" s="100"/>
      <c r="I374" s="100"/>
      <c r="J374" s="100"/>
      <c r="K374" s="100"/>
      <c r="L374" s="100"/>
      <c r="M374" s="30"/>
      <c r="N374" s="10"/>
    </row>
    <row r="375" spans="1:14" x14ac:dyDescent="0.25">
      <c r="A375" s="27"/>
      <c r="B375" s="36"/>
      <c r="C375" s="13"/>
      <c r="D375" s="101"/>
      <c r="E375" s="101"/>
      <c r="F375" s="101"/>
      <c r="G375" s="101"/>
      <c r="H375" s="100"/>
      <c r="I375" s="100"/>
      <c r="J375" s="100"/>
      <c r="K375" s="100"/>
      <c r="L375" s="100"/>
      <c r="M375" s="30"/>
      <c r="N375" s="10"/>
    </row>
    <row r="376" spans="1:14" x14ac:dyDescent="0.25">
      <c r="A376" s="1" t="s">
        <v>348</v>
      </c>
      <c r="B376" s="36"/>
      <c r="C376" s="13"/>
      <c r="D376" s="146">
        <f>IF(ISERROR(VLOOKUP(A376,Annual!$A$246:$E$324, 5,0)), 0, VLOOKUP(A376,Annual!$A$246:$E$324, 5,0))</f>
        <v>1456</v>
      </c>
      <c r="E376" s="146">
        <f>IF(ISERROR(VLOOKUP(A376,Annual!$A$246:$E$324, 4,0)), 0, VLOOKUP(A376,Annual!$A$246:$E$324, 4,0))</f>
        <v>1893</v>
      </c>
      <c r="F376" s="146">
        <f>IF(ISERROR(VLOOKUP(A376,Annual!$A$246:$E$324, 3,0)), 0, VLOOKUP(A376,Annual!$A$246:$E$324, 3,0))</f>
        <v>1709</v>
      </c>
      <c r="G376" s="146">
        <f>IF(ISERROR(VLOOKUP(A376,Annual!$A$246:$E$324, 2,0)), 0, VLOOKUP(A376,Annual!$A$246:$E$324, 2,0))</f>
        <v>2728</v>
      </c>
      <c r="H376" s="100">
        <f>G376</f>
        <v>2728</v>
      </c>
      <c r="I376" s="100">
        <f t="shared" ref="I376:L376" si="179">H376</f>
        <v>2728</v>
      </c>
      <c r="J376" s="100">
        <f t="shared" si="179"/>
        <v>2728</v>
      </c>
      <c r="K376" s="100">
        <f t="shared" si="179"/>
        <v>2728</v>
      </c>
      <c r="L376" s="100">
        <f t="shared" si="179"/>
        <v>2728</v>
      </c>
      <c r="M376" s="30"/>
      <c r="N376" s="10"/>
    </row>
    <row r="377" spans="1:14" x14ac:dyDescent="0.25">
      <c r="A377" s="1" t="s">
        <v>350</v>
      </c>
      <c r="B377" s="36"/>
      <c r="C377" s="13"/>
      <c r="D377" s="146">
        <f>IF(ISERROR(VLOOKUP(A377,Annual!$A$246:$E$324, 5,0)), 0, VLOOKUP(A377,Annual!$A$246:$E$324, 5,0))</f>
        <v>0</v>
      </c>
      <c r="E377" s="146">
        <f>IF(ISERROR(VLOOKUP(A377,Annual!$A$246:$E$324, 4,0)), 0, VLOOKUP(A377,Annual!$A$246:$E$324, 4,0))</f>
        <v>0</v>
      </c>
      <c r="F377" s="146">
        <f>IF(ISERROR(VLOOKUP(A377,Annual!$A$246:$E$324, 3,0)), 0, VLOOKUP(A377,Annual!$A$246:$E$324, 3,0))</f>
        <v>0</v>
      </c>
      <c r="G377" s="146">
        <f>IF(ISERROR(VLOOKUP(A377,Annual!$A$246:$E$324, 2,0)), 0, VLOOKUP(A377,Annual!$A$246:$E$324, 2,0))</f>
        <v>0</v>
      </c>
      <c r="H377" s="100">
        <f>G377</f>
        <v>0</v>
      </c>
      <c r="I377" s="100">
        <f t="shared" ref="I377:L377" si="180">H377</f>
        <v>0</v>
      </c>
      <c r="J377" s="100">
        <f t="shared" si="180"/>
        <v>0</v>
      </c>
      <c r="K377" s="100">
        <f t="shared" si="180"/>
        <v>0</v>
      </c>
      <c r="L377" s="100">
        <f t="shared" si="180"/>
        <v>0</v>
      </c>
      <c r="M377" s="30"/>
      <c r="N377" s="10"/>
    </row>
    <row r="378" spans="1:14" x14ac:dyDescent="0.25">
      <c r="A378" s="169" t="s">
        <v>349</v>
      </c>
      <c r="B378" s="36"/>
      <c r="C378" s="13"/>
      <c r="D378" s="146">
        <f>VLOOKUP(A378,Annual!$A$246:$E$324, 5,0)</f>
        <v>9470</v>
      </c>
      <c r="E378" s="146">
        <f>VLOOKUP(A378,Annual!$A$246:$E$324, 4,0)</f>
        <v>9614</v>
      </c>
      <c r="F378" s="146">
        <f>VLOOKUP(A378,Annual!$A$246:$E$324, 3,0)</f>
        <v>11760</v>
      </c>
      <c r="G378" s="146">
        <f>VLOOKUP(A378,Annual!$A$246:$E$324, 2,0)</f>
        <v>13602</v>
      </c>
      <c r="H378" s="100">
        <f>G378</f>
        <v>13602</v>
      </c>
      <c r="I378" s="100">
        <f t="shared" ref="I378:L378" si="181">H378</f>
        <v>13602</v>
      </c>
      <c r="J378" s="100">
        <f t="shared" si="181"/>
        <v>13602</v>
      </c>
      <c r="K378" s="100">
        <f t="shared" si="181"/>
        <v>13602</v>
      </c>
      <c r="L378" s="100">
        <f t="shared" si="181"/>
        <v>13602</v>
      </c>
      <c r="M378" s="30"/>
      <c r="N378" s="10"/>
    </row>
    <row r="379" spans="1:14" x14ac:dyDescent="0.25">
      <c r="A379" s="27" t="s">
        <v>96</v>
      </c>
      <c r="B379" s="36"/>
      <c r="C379" s="13"/>
      <c r="D379" s="154">
        <f>D362+D368+D376+D377+D378</f>
        <v>51621</v>
      </c>
      <c r="E379" s="154">
        <f t="shared" ref="E379:G379" si="182">E362+E368+E376+E377+E378</f>
        <v>54908</v>
      </c>
      <c r="F379" s="154">
        <f t="shared" si="182"/>
        <v>63487</v>
      </c>
      <c r="G379" s="154">
        <f t="shared" si="182"/>
        <v>82600</v>
      </c>
      <c r="H379" s="100">
        <f t="shared" ref="H379" si="183">H362+H368+H376+H377+H378</f>
        <v>83479.334616839129</v>
      </c>
      <c r="I379" s="100">
        <f t="shared" ref="I379" si="184">I362+I368+I376+I377+I378</f>
        <v>83106.499448162678</v>
      </c>
      <c r="J379" s="100">
        <f t="shared" ref="J379" si="185">J362+J368+J376+J377+J378</f>
        <v>83705.142830594719</v>
      </c>
      <c r="K379" s="100">
        <f t="shared" ref="K379" si="186">K362+K368+K376+K377+K378</f>
        <v>84132.866789135122</v>
      </c>
      <c r="L379" s="100">
        <f t="shared" ref="L379" si="187">L362+L368+L376+L377+L378</f>
        <v>84390.474327845819</v>
      </c>
      <c r="M379" s="30"/>
      <c r="N379" s="10"/>
    </row>
    <row r="380" spans="1:14" x14ac:dyDescent="0.25">
      <c r="A380" s="10" t="s">
        <v>96</v>
      </c>
      <c r="B380" s="18"/>
      <c r="C380" s="18"/>
      <c r="D380" s="103">
        <f>D379</f>
        <v>51621</v>
      </c>
      <c r="E380" s="103">
        <f t="shared" ref="E380:G380" si="188">E379</f>
        <v>54908</v>
      </c>
      <c r="F380" s="103">
        <f t="shared" si="188"/>
        <v>63487</v>
      </c>
      <c r="G380" s="103">
        <f t="shared" si="188"/>
        <v>82600</v>
      </c>
      <c r="H380" s="113"/>
      <c r="I380" s="113"/>
      <c r="J380" s="113"/>
      <c r="K380" s="113"/>
      <c r="L380" s="113"/>
      <c r="M380" s="1"/>
      <c r="N380" s="1"/>
    </row>
    <row r="381" spans="1:14" x14ac:dyDescent="0.25">
      <c r="A381" s="4" t="s">
        <v>213</v>
      </c>
      <c r="B381" s="36"/>
      <c r="C381" s="13"/>
      <c r="D381" s="155">
        <f>D379-D380</f>
        <v>0</v>
      </c>
      <c r="E381" s="155">
        <f t="shared" ref="E381" si="189">E379-E380</f>
        <v>0</v>
      </c>
      <c r="F381" s="155">
        <f t="shared" ref="F381" si="190">F379-F380</f>
        <v>0</v>
      </c>
      <c r="G381" s="155">
        <f t="shared" ref="G381" si="191">G379-G380</f>
        <v>0</v>
      </c>
      <c r="H381" s="100"/>
      <c r="I381" s="100"/>
      <c r="J381" s="100"/>
      <c r="K381" s="100"/>
      <c r="L381" s="100"/>
      <c r="M381" s="30"/>
      <c r="N381" s="10"/>
    </row>
    <row r="382" spans="1:14" x14ac:dyDescent="0.25">
      <c r="A382" s="1"/>
      <c r="B382" s="36"/>
      <c r="C382" s="13"/>
      <c r="D382" s="151"/>
      <c r="E382" s="151"/>
      <c r="F382" s="151"/>
      <c r="G382" s="151"/>
      <c r="H382" s="100"/>
      <c r="I382" s="100"/>
      <c r="J382" s="100"/>
      <c r="K382" s="100"/>
      <c r="L382" s="100"/>
      <c r="M382" s="30"/>
      <c r="N382" s="10"/>
    </row>
    <row r="383" spans="1:14" x14ac:dyDescent="0.25">
      <c r="A383" s="1" t="s">
        <v>395</v>
      </c>
      <c r="B383" s="36"/>
      <c r="C383" s="13"/>
      <c r="D383" s="103">
        <f>IF(Annual!E93="-", 0, Annual!E93)</f>
        <v>0</v>
      </c>
      <c r="E383" s="103">
        <f>IF(Annual!D93="-", 0, Annual!D93)</f>
        <v>0</v>
      </c>
      <c r="F383" s="103">
        <f>IF(Annual!C93="-", 0, Annual!C93)</f>
        <v>0</v>
      </c>
      <c r="G383" s="103">
        <f>IF(Annual!B93="-", 0, Annual!B93)</f>
        <v>0</v>
      </c>
      <c r="H383" s="100">
        <f>G383</f>
        <v>0</v>
      </c>
      <c r="I383" s="100">
        <f t="shared" ref="I383:L383" si="192">H383</f>
        <v>0</v>
      </c>
      <c r="J383" s="100">
        <f t="shared" si="192"/>
        <v>0</v>
      </c>
      <c r="K383" s="100">
        <f t="shared" si="192"/>
        <v>0</v>
      </c>
      <c r="L383" s="100">
        <f t="shared" si="192"/>
        <v>0</v>
      </c>
      <c r="M383" s="30"/>
      <c r="N383" s="10"/>
    </row>
    <row r="384" spans="1:14" x14ac:dyDescent="0.25">
      <c r="A384" s="1" t="s">
        <v>396</v>
      </c>
      <c r="B384" s="36"/>
      <c r="C384" s="13"/>
      <c r="D384" s="103">
        <f>IF(Annual!E94="-", 0, Annual!E94)</f>
        <v>0</v>
      </c>
      <c r="E384" s="103">
        <f>IF(Annual!D94="-", 0, Annual!D94)</f>
        <v>0</v>
      </c>
      <c r="F384" s="103">
        <f>IF(Annual!C94="-", 0, Annual!C94)</f>
        <v>0</v>
      </c>
      <c r="G384" s="103">
        <f>IF(Annual!B94="-", 0, Annual!B94)</f>
        <v>0</v>
      </c>
      <c r="H384" s="100">
        <f>G384</f>
        <v>0</v>
      </c>
      <c r="I384" s="100">
        <f t="shared" ref="I384:L384" si="193">H384</f>
        <v>0</v>
      </c>
      <c r="J384" s="100">
        <f t="shared" si="193"/>
        <v>0</v>
      </c>
      <c r="K384" s="100">
        <f t="shared" si="193"/>
        <v>0</v>
      </c>
      <c r="L384" s="100">
        <f t="shared" si="193"/>
        <v>0</v>
      </c>
      <c r="M384" s="30"/>
      <c r="N384" s="10"/>
    </row>
    <row r="385" spans="1:14" x14ac:dyDescent="0.25">
      <c r="A385" s="10" t="s">
        <v>60</v>
      </c>
      <c r="B385" s="18"/>
      <c r="C385" s="18"/>
      <c r="D385" s="146">
        <f>SUM(D387:D388)</f>
        <v>0</v>
      </c>
      <c r="E385" s="146">
        <f t="shared" ref="E385:G385" si="194">SUM(E387:E388)</f>
        <v>0</v>
      </c>
      <c r="F385" s="146">
        <f t="shared" si="194"/>
        <v>0</v>
      </c>
      <c r="G385" s="146">
        <f t="shared" si="194"/>
        <v>0</v>
      </c>
      <c r="H385" s="103">
        <f>SUM(H383:H384)</f>
        <v>0</v>
      </c>
      <c r="I385" s="103">
        <f t="shared" ref="I385:L385" si="195">SUM(I383:I384)</f>
        <v>0</v>
      </c>
      <c r="J385" s="103">
        <f t="shared" si="195"/>
        <v>0</v>
      </c>
      <c r="K385" s="103">
        <f t="shared" si="195"/>
        <v>0</v>
      </c>
      <c r="L385" s="103">
        <f t="shared" si="195"/>
        <v>0</v>
      </c>
      <c r="M385" s="10"/>
      <c r="N385" s="10"/>
    </row>
    <row r="386" spans="1:14" x14ac:dyDescent="0.25">
      <c r="A386" s="1"/>
      <c r="B386" s="36"/>
      <c r="C386" s="13"/>
      <c r="D386" s="97"/>
      <c r="E386" s="97"/>
      <c r="F386" s="97"/>
      <c r="G386" s="97"/>
      <c r="H386" s="100"/>
      <c r="I386" s="100"/>
      <c r="J386" s="100"/>
      <c r="K386" s="100"/>
      <c r="L386" s="100"/>
      <c r="M386" s="30"/>
      <c r="N386" s="10"/>
    </row>
    <row r="387" spans="1:14" x14ac:dyDescent="0.25">
      <c r="A387" s="1" t="s">
        <v>436</v>
      </c>
      <c r="B387" s="36"/>
      <c r="C387" s="13"/>
      <c r="D387" s="101">
        <f>IF(ISERROR(VLOOKUP("Preferred Securities of Subsidiary Trust",Annual!$A$246:$E$324,5,0)),0,VLOOKUP("Preferred Securities of Subsidiary Trust",Annual!$A$246:$E$324,5,0))</f>
        <v>0</v>
      </c>
      <c r="E387" s="101">
        <f>IF(ISERROR(VLOOKUP("Preferred Securities of Subsidiary Trust",Annual!$A$246:$E$324,4,0)),0,VLOOKUP("Preferred Securities of Subsidiary Trust",Annual!$A$246:$E$324,4,0))</f>
        <v>0</v>
      </c>
      <c r="F387" s="101">
        <f>IF(ISERROR(VLOOKUP("Preferred Securities of Subsidiary Trust",Annual!$A$246:$E$324,3,0)),0,VLOOKUP("Preferred Securities of Subsidiary Trust",Annual!$A$246:$E$324,3,0))</f>
        <v>0</v>
      </c>
      <c r="G387" s="101">
        <f>IF(ISERROR(VLOOKUP("Preferred Securities of Subsidiary Trust",Annual!$A$246:$E$324,2,0)),0,VLOOKUP("Preferred Securities of Subsidiary Trust",Annual!$A$246:$E$324,2,0))</f>
        <v>0</v>
      </c>
      <c r="H387" s="100"/>
      <c r="I387" s="100"/>
      <c r="J387" s="100"/>
      <c r="K387" s="100"/>
      <c r="L387" s="100"/>
      <c r="M387" s="30"/>
      <c r="N387" s="10"/>
    </row>
    <row r="388" spans="1:14" x14ac:dyDescent="0.25">
      <c r="A388" s="1" t="s">
        <v>437</v>
      </c>
      <c r="B388" s="36"/>
      <c r="C388" s="13"/>
      <c r="D388" s="101">
        <f>IF(ISERROR(VLOOKUP("Preferred Equity outside Stock Equity",Annual!$A$246:$E$324,5,0)),0,VLOOKUP("Preferred Equity outside Stock Equity",Annual!$A$246:$E$324,5,0))</f>
        <v>0</v>
      </c>
      <c r="E388" s="101">
        <f>IF(ISERROR(VLOOKUP("Preferred Equity outside Stock Equity",Annual!$A$246:$E$324,4,0)),0,VLOOKUP("Preferred Equity outside Stock Equity",Annual!$A$246:$E$324,4,0))</f>
        <v>0</v>
      </c>
      <c r="F388" s="101">
        <f>IF(ISERROR(VLOOKUP("Preferred Equity outside Stock Equity",Annual!$A$246:$E$324,3,0)),0,VLOOKUP("Preferred Equity outside Stock Equity",Annual!$A$246:$E$324,3,0))</f>
        <v>0</v>
      </c>
      <c r="G388" s="101">
        <f>IF(ISERROR(VLOOKUP("Preferred Equity outside Stock Equity",Annual!$A$246:$E$324,2,0)),0,VLOOKUP("Preferred Equity outside Stock Equity",Annual!$A$246:$E$324,2,0))</f>
        <v>0</v>
      </c>
      <c r="H388" s="100"/>
      <c r="I388" s="100"/>
      <c r="J388" s="100"/>
      <c r="K388" s="100"/>
      <c r="L388" s="100"/>
      <c r="M388" s="30"/>
      <c r="N388" s="10"/>
    </row>
    <row r="389" spans="1:14" x14ac:dyDescent="0.25">
      <c r="A389" s="1"/>
      <c r="B389" s="36"/>
      <c r="C389" s="13"/>
      <c r="D389" s="97"/>
      <c r="E389" s="97"/>
      <c r="F389" s="97"/>
      <c r="G389" s="97"/>
      <c r="H389" s="100"/>
      <c r="I389" s="100"/>
      <c r="J389" s="100"/>
      <c r="K389" s="100"/>
      <c r="L389" s="100"/>
      <c r="M389" s="30"/>
      <c r="N389" s="10"/>
    </row>
    <row r="390" spans="1:14" x14ac:dyDescent="0.25">
      <c r="A390" s="27" t="s">
        <v>65</v>
      </c>
      <c r="B390" s="36"/>
      <c r="C390" s="13"/>
      <c r="D390" s="97"/>
      <c r="E390" s="97"/>
      <c r="F390" s="97"/>
      <c r="G390" s="97"/>
      <c r="H390" s="100"/>
      <c r="I390" s="100"/>
      <c r="J390" s="100"/>
      <c r="K390" s="100"/>
      <c r="L390" s="100"/>
      <c r="M390" s="30"/>
      <c r="N390" s="10"/>
    </row>
    <row r="391" spans="1:14" x14ac:dyDescent="0.25">
      <c r="A391" s="169" t="s">
        <v>353</v>
      </c>
      <c r="B391" s="36"/>
      <c r="C391" s="13"/>
      <c r="D391" s="146">
        <f>IF(ISERROR(VLOOKUP(A391,Annual!$A$246:$E$324, 5,0)), 0, VLOOKUP(A391,Annual!$A$246:$E$324, 5,0))</f>
        <v>63415</v>
      </c>
      <c r="E391" s="146">
        <f>IF(ISERROR(VLOOKUP(A391,Annual!$A$246:$E$324, 4,0)), 0, VLOOKUP(A391,Annual!$A$246:$E$324, 4,0))</f>
        <v>65797</v>
      </c>
      <c r="F391" s="146">
        <f>IF(ISERROR(VLOOKUP(A391,Annual!$A$246:$E$324, 3,0)), 0, VLOOKUP(A391,Annual!$A$246:$E$324, 3,0))</f>
        <v>67306</v>
      </c>
      <c r="G391" s="146">
        <f>IF(ISERROR(VLOOKUP(A391,Annual!$A$246:$E$324, 2,0)), 0, VLOOKUP(A391,Annual!$A$246:$E$324, 2,0))</f>
        <v>68366</v>
      </c>
      <c r="H391" s="100">
        <f>G391</f>
        <v>68366</v>
      </c>
      <c r="I391" s="100">
        <f t="shared" ref="I391:L391" si="196">H391</f>
        <v>68366</v>
      </c>
      <c r="J391" s="100">
        <f t="shared" si="196"/>
        <v>68366</v>
      </c>
      <c r="K391" s="100">
        <f t="shared" si="196"/>
        <v>68366</v>
      </c>
      <c r="L391" s="100">
        <f t="shared" si="196"/>
        <v>68366</v>
      </c>
      <c r="M391" s="30"/>
      <c r="N391" s="10"/>
    </row>
    <row r="392" spans="1:14" x14ac:dyDescent="0.25">
      <c r="A392" s="169" t="s">
        <v>354</v>
      </c>
      <c r="B392" s="36"/>
      <c r="C392" s="13"/>
      <c r="D392" s="146">
        <f>IF(ISERROR(VLOOKUP(A392,Annual!$A$246:$E$324, 5,0)), 0, VLOOKUP(A392,Annual!$A$246:$E$324, 5,0))</f>
        <v>0</v>
      </c>
      <c r="E392" s="146">
        <f>IF(ISERROR(VLOOKUP(A392,Annual!$A$246:$E$324, 4,0)), 0, VLOOKUP(A392,Annual!$A$246:$E$324, 4,0))</f>
        <v>0</v>
      </c>
      <c r="F392" s="146">
        <f>IF(ISERROR(VLOOKUP(A392,Annual!$A$246:$E$324, 3,0)), 0, VLOOKUP(A392,Annual!$A$246:$E$324, 3,0))</f>
        <v>0</v>
      </c>
      <c r="G392" s="146">
        <f>IF(ISERROR(VLOOKUP(A392,Annual!$A$246:$E$324, 2,0)), 0, VLOOKUP(A392,Annual!$A$246:$E$324, 2,0))</f>
        <v>0</v>
      </c>
      <c r="H392" s="100">
        <f>IF($H$180&gt;$G$180, $G$392+$H$293, $G$392)</f>
        <v>0</v>
      </c>
      <c r="I392" s="100">
        <f>IF(I180&gt;H180, H392+I293, H392)</f>
        <v>0</v>
      </c>
      <c r="J392" s="100">
        <f>IF(J180&gt;I180, I392+J293, I392)</f>
        <v>0</v>
      </c>
      <c r="K392" s="100">
        <f>IF(K180&gt;J180, J392+K293, J392)</f>
        <v>0</v>
      </c>
      <c r="L392" s="100">
        <f>IF(L180&gt;K180, K392+L293, K392)</f>
        <v>0</v>
      </c>
      <c r="M392" s="30"/>
      <c r="N392" s="10"/>
    </row>
    <row r="393" spans="1:14" x14ac:dyDescent="0.25">
      <c r="A393" s="169" t="s">
        <v>356</v>
      </c>
      <c r="B393" s="36"/>
      <c r="C393" s="13"/>
      <c r="D393" s="146">
        <f>IF(ISERROR(VLOOKUP(A393,Annual!$A$246:$E$324, 5,0)), 0, VLOOKUP(A393,Annual!$A$246:$E$324, 5,0))</f>
        <v>-8195</v>
      </c>
      <c r="E393" s="146">
        <f>IF(ISERROR(VLOOKUP(A393,Annual!$A$246:$E$324, 4,0)), 0, VLOOKUP(A393,Annual!$A$246:$E$324, 4,0))</f>
        <v>-856</v>
      </c>
      <c r="F393" s="146">
        <f>IF(ISERROR(VLOOKUP(A393,Annual!$A$246:$E$324, 3,0)), 0, VLOOKUP(A393,Annual!$A$246:$E$324, 3,0))</f>
        <v>9895</v>
      </c>
      <c r="G393" s="146">
        <f>IF(ISERROR(VLOOKUP(A393,Annual!$A$246:$E$324, 2,0)), 0, VLOOKUP(A393,Annual!$A$246:$E$324, 2,0))</f>
        <v>17710</v>
      </c>
      <c r="H393" s="100">
        <f>G393+H167-H153+H292</f>
        <v>26241.812881275095</v>
      </c>
      <c r="I393" s="100">
        <f>H393+I167-I153+I292</f>
        <v>35003.553102287369</v>
      </c>
      <c r="J393" s="100">
        <f>I393+J167-J153+J292</f>
        <v>44193.73215602625</v>
      </c>
      <c r="K393" s="100">
        <f>J393+K167-K153+K292</f>
        <v>53799.611282397804</v>
      </c>
      <c r="L393" s="100">
        <f>K393+L167-L153+L292</f>
        <v>63379.215699506603</v>
      </c>
      <c r="M393" s="30"/>
      <c r="N393" s="10"/>
    </row>
    <row r="394" spans="1:14" x14ac:dyDescent="0.25">
      <c r="A394" s="169" t="s">
        <v>357</v>
      </c>
      <c r="B394" s="36"/>
      <c r="C394" s="13"/>
      <c r="D394" s="146">
        <f>IF(ISERROR(VLOOKUP(A394,Annual!$A$246:$E$324, 5,0)), 0, VLOOKUP(A394,Annual!$A$246:$E$324, 5,0))</f>
        <v>0</v>
      </c>
      <c r="E394" s="146">
        <f>IF(ISERROR(VLOOKUP(A394,Annual!$A$246:$E$324, 4,0)), 0, VLOOKUP(A394,Annual!$A$246:$E$324, 4,0))</f>
        <v>0</v>
      </c>
      <c r="F394" s="146">
        <f>IF(ISERROR(VLOOKUP(A394,Annual!$A$246:$E$324, 3,0)), 0, VLOOKUP(A394,Annual!$A$246:$E$324, 3,0))</f>
        <v>0</v>
      </c>
      <c r="G394" s="146">
        <f>IF(ISERROR(VLOOKUP(A394,Annual!$A$246:$E$324, 2,0)), 0, VLOOKUP(A394,Annual!$A$246:$E$324, 2,0))</f>
        <v>0</v>
      </c>
      <c r="H394" s="100">
        <f>IF(H180&lt;G180, G394+H293, G394)</f>
        <v>-3758.2103919716801</v>
      </c>
      <c r="I394" s="100">
        <f>IF(I180&lt;H180, H394+I293, H394)</f>
        <v>-7484.917485498243</v>
      </c>
      <c r="J394" s="100">
        <f>IF(J180&lt;I180, I394+J293, I394)</f>
        <v>-11638.70768460722</v>
      </c>
      <c r="K394" s="100">
        <f>IF(K180&lt;J180, J394+K293, J394)</f>
        <v>-16051.91568661483</v>
      </c>
      <c r="L394" s="100">
        <f>IF(L180&lt;K180, K394+L293, K394)</f>
        <v>-20740.742982986761</v>
      </c>
      <c r="M394" s="30"/>
      <c r="N394" s="10"/>
    </row>
    <row r="395" spans="1:14" x14ac:dyDescent="0.25">
      <c r="A395" s="169" t="s">
        <v>419</v>
      </c>
      <c r="B395" s="36"/>
      <c r="C395" s="13"/>
      <c r="D395" s="146">
        <f>SUM(D400:D401)</f>
        <v>1863</v>
      </c>
      <c r="E395" s="146">
        <f t="shared" ref="E395:G395" si="197">SUM(E400:E401)</f>
        <v>1422</v>
      </c>
      <c r="F395" s="146">
        <f t="shared" si="197"/>
        <v>1743</v>
      </c>
      <c r="G395" s="146">
        <f t="shared" si="197"/>
        <v>3708</v>
      </c>
      <c r="H395" s="100">
        <f>G395+H268</f>
        <v>6810.4350000000004</v>
      </c>
      <c r="I395" s="100">
        <f>H395+I268</f>
        <v>10005.943050000002</v>
      </c>
      <c r="J395" s="100">
        <f>I395+J268</f>
        <v>13297.316341500002</v>
      </c>
      <c r="K395" s="100">
        <f>J395+K268</f>
        <v>16687.430831745001</v>
      </c>
      <c r="L395" s="100">
        <f>K395+L268</f>
        <v>20179.24875669735</v>
      </c>
      <c r="M395" s="30"/>
      <c r="N395" s="10"/>
    </row>
    <row r="396" spans="1:14" x14ac:dyDescent="0.25">
      <c r="A396" s="10" t="s">
        <v>65</v>
      </c>
      <c r="B396" s="18"/>
      <c r="C396" s="18"/>
      <c r="D396" s="45">
        <f>SUM(D391:D395)</f>
        <v>57083</v>
      </c>
      <c r="E396" s="45">
        <f t="shared" ref="E396:G396" si="198">SUM(E391:E395)</f>
        <v>66363</v>
      </c>
      <c r="F396" s="45">
        <f t="shared" si="198"/>
        <v>78944</v>
      </c>
      <c r="G396" s="45">
        <f t="shared" si="198"/>
        <v>89784</v>
      </c>
      <c r="H396" s="114"/>
      <c r="I396" s="114"/>
      <c r="J396" s="114"/>
      <c r="K396" s="114"/>
      <c r="L396" s="114"/>
      <c r="M396" s="1"/>
      <c r="N396" s="1"/>
    </row>
    <row r="397" spans="1:14" x14ac:dyDescent="0.25">
      <c r="A397" s="1" t="s">
        <v>220</v>
      </c>
      <c r="B397" s="36"/>
      <c r="C397" s="13"/>
      <c r="D397" s="103">
        <f>SUM(D391:D395)+SUM(D383:D385)</f>
        <v>57083</v>
      </c>
      <c r="E397" s="103">
        <f t="shared" ref="E397:F397" si="199">SUM(E391:E395)+SUM(E383:E385)</f>
        <v>66363</v>
      </c>
      <c r="F397" s="103">
        <f t="shared" si="199"/>
        <v>78944</v>
      </c>
      <c r="G397" s="103">
        <f>SUM(G391:G395)+SUM(G383:G385)</f>
        <v>89784</v>
      </c>
      <c r="H397" s="103">
        <f t="shared" ref="H397:L397" si="200">SUM(H391:H395)+SUM(H383:H385)</f>
        <v>97660.037489303417</v>
      </c>
      <c r="I397" s="103">
        <f t="shared" si="200"/>
        <v>105890.57866678914</v>
      </c>
      <c r="J397" s="103">
        <f t="shared" si="200"/>
        <v>114218.34081291904</v>
      </c>
      <c r="K397" s="103">
        <f t="shared" si="200"/>
        <v>122801.12642752798</v>
      </c>
      <c r="L397" s="103">
        <f t="shared" si="200"/>
        <v>131183.72147321719</v>
      </c>
      <c r="M397" s="30"/>
      <c r="N397" s="10"/>
    </row>
    <row r="398" spans="1:14" x14ac:dyDescent="0.25">
      <c r="A398" s="4" t="s">
        <v>221</v>
      </c>
      <c r="B398" s="36"/>
      <c r="C398" s="13"/>
      <c r="D398" s="104">
        <f>D396-D397</f>
        <v>0</v>
      </c>
      <c r="E398" s="104">
        <f t="shared" ref="E398:G398" si="201">E396-E397</f>
        <v>0</v>
      </c>
      <c r="F398" s="104">
        <f t="shared" si="201"/>
        <v>0</v>
      </c>
      <c r="G398" s="104">
        <f t="shared" si="201"/>
        <v>0</v>
      </c>
      <c r="H398" s="97"/>
      <c r="I398" s="97"/>
      <c r="J398" s="97"/>
      <c r="K398" s="97"/>
      <c r="L398" s="97"/>
      <c r="M398" s="30"/>
      <c r="N398" s="10"/>
    </row>
    <row r="399" spans="1:14" x14ac:dyDescent="0.25">
      <c r="A399" s="4"/>
      <c r="B399" s="36"/>
      <c r="C399" s="13"/>
      <c r="D399" s="104"/>
      <c r="E399" s="104"/>
      <c r="F399" s="104"/>
      <c r="G399" s="104"/>
      <c r="H399" s="97"/>
      <c r="I399" s="97"/>
      <c r="J399" s="97"/>
      <c r="K399" s="97"/>
      <c r="L399" s="97"/>
      <c r="M399" s="30"/>
      <c r="N399" s="10"/>
    </row>
    <row r="400" spans="1:14" x14ac:dyDescent="0.25">
      <c r="A400" s="4" t="s">
        <v>355</v>
      </c>
      <c r="B400" s="36"/>
      <c r="C400" s="13"/>
      <c r="D400" s="104">
        <f>IF(ISERROR(VLOOKUP("Cumulative Translation Adjustment",Annual!$A$246:$E$324, 5,0)), 0, VLOOKUP("Cumulative Translation Adjustment",Annual!$A$246:$E$324, 5,0))</f>
        <v>0</v>
      </c>
      <c r="E400" s="104">
        <f>IF(ISERROR(VLOOKUP("Cumulative Translation Adjustment",Annual!$A$246:$E$324, 4,0)), 0, VLOOKUP("Cumulative Translation Adjustment",Annual!$A$246:$E$324, 4,0))</f>
        <v>0</v>
      </c>
      <c r="F400" s="104">
        <f>IF(ISERROR(VLOOKUP("Cumulative Translation Adjustment",Annual!$A$246:$E$324, 3,0)), 0, VLOOKUP("Cumulative Translation Adjustment",Annual!$A$246:$E$324, 3,0))</f>
        <v>0</v>
      </c>
      <c r="G400" s="104">
        <f>IF(ISERROR(VLOOKUP("Cumulative Translation Adjustment",Annual!$A$246:$E$324, 2,0)), 0, VLOOKUP("Cumulative Translation Adjustment",Annual!$A$246:$E$324, 2,0))</f>
        <v>0</v>
      </c>
      <c r="H400" s="97"/>
      <c r="I400" s="97"/>
      <c r="J400" s="97"/>
      <c r="K400" s="97"/>
      <c r="L400" s="97"/>
      <c r="M400" s="30"/>
      <c r="N400" s="10"/>
    </row>
    <row r="401" spans="1:19" x14ac:dyDescent="0.25">
      <c r="A401" s="4" t="s">
        <v>358</v>
      </c>
      <c r="B401" s="36"/>
      <c r="C401" s="13"/>
      <c r="D401" s="104">
        <f>IF(ISERROR(VLOOKUP("Other Equity Adjustments",Annual!$A$246:$E$324, 5,0)), 0, VLOOKUP("Other Equity Adjustments",Annual!$A$246:$E$324, 5,0))</f>
        <v>1863</v>
      </c>
      <c r="E401" s="104">
        <f>IF(ISERROR(VLOOKUP("Other Equity Adjustments",Annual!$A$246:$E$324, 4,0)), 0, VLOOKUP("Other Equity Adjustments",Annual!$A$246:$E$324, 4,0))</f>
        <v>1422</v>
      </c>
      <c r="F401" s="104">
        <f>IF(ISERROR(VLOOKUP("Other Equity Adjustments",Annual!$A$246:$E$324, 3,0)), 0, VLOOKUP("Other Equity Adjustments",Annual!$A$246:$E$324, 3,0))</f>
        <v>1743</v>
      </c>
      <c r="G401" s="104">
        <f>IF(ISERROR(VLOOKUP("Other Equity Adjustments",Annual!$A$246:$E$324, 2,0)), 0, VLOOKUP("Other Equity Adjustments",Annual!$A$246:$E$324, 2,0))</f>
        <v>3708</v>
      </c>
      <c r="H401" s="97"/>
      <c r="I401" s="97"/>
      <c r="J401" s="97"/>
      <c r="K401" s="97"/>
      <c r="L401" s="97"/>
      <c r="M401" s="30"/>
      <c r="N401" s="10"/>
    </row>
    <row r="402" spans="1:19" x14ac:dyDescent="0.25">
      <c r="A402" s="4"/>
      <c r="B402" s="36"/>
      <c r="C402" s="13"/>
      <c r="D402" s="104"/>
      <c r="E402" s="104"/>
      <c r="F402" s="104"/>
      <c r="G402" s="104"/>
      <c r="H402" s="97"/>
      <c r="I402" s="97"/>
      <c r="J402" s="97"/>
      <c r="K402" s="97"/>
      <c r="L402" s="97"/>
      <c r="M402" s="30"/>
      <c r="N402" s="10"/>
    </row>
    <row r="403" spans="1:19" x14ac:dyDescent="0.25">
      <c r="A403" s="10" t="s">
        <v>172</v>
      </c>
      <c r="B403" s="18"/>
      <c r="C403" s="18"/>
      <c r="D403" s="23">
        <f>D396/D180</f>
        <v>6.6429652042360061</v>
      </c>
      <c r="E403" s="23">
        <f>E396/E180</f>
        <v>7.8019045379731953</v>
      </c>
      <c r="F403" s="23">
        <f>F396/F180</f>
        <v>9.3204250295159383</v>
      </c>
      <c r="G403" s="23">
        <f>G396/G180</f>
        <v>10.689844029051077</v>
      </c>
      <c r="H403" s="23">
        <f>H397/H180</f>
        <v>11.725871605038167</v>
      </c>
      <c r="I403" s="23">
        <f>I397/I180</f>
        <v>12.821575631537922</v>
      </c>
      <c r="J403" s="23">
        <f>J397/J180</f>
        <v>13.94683789402713</v>
      </c>
      <c r="K403" s="23">
        <f>K397/K180</f>
        <v>15.121611828321635</v>
      </c>
      <c r="L403" s="23">
        <f>L397/L180</f>
        <v>16.290391103485906</v>
      </c>
      <c r="M403" s="1"/>
      <c r="N403" s="1"/>
    </row>
    <row r="404" spans="1:19" x14ac:dyDescent="0.25">
      <c r="A404" s="10" t="s">
        <v>173</v>
      </c>
      <c r="B404" s="18"/>
      <c r="C404" s="18"/>
      <c r="D404" s="23"/>
      <c r="E404" s="88">
        <f>E403/D403-1</f>
        <v>0.17446114771129184</v>
      </c>
      <c r="F404" s="88">
        <f t="shared" ref="F404:G404" si="202">F403/E403-1</f>
        <v>0.1946345900737243</v>
      </c>
      <c r="G404" s="88">
        <f t="shared" si="202"/>
        <v>0.1469266686013202</v>
      </c>
      <c r="H404" s="88">
        <f t="shared" ref="H404" si="203">H403/G403-1</f>
        <v>9.6916996466136052E-2</v>
      </c>
      <c r="I404" s="88">
        <f t="shared" ref="I404" si="204">I403/H403-1</f>
        <v>9.3443290478208096E-2</v>
      </c>
      <c r="J404" s="88">
        <f t="shared" ref="J404" si="205">J403/I403-1</f>
        <v>8.776318097140412E-2</v>
      </c>
      <c r="K404" s="88">
        <f t="shared" ref="K404" si="206">K403/J403-1</f>
        <v>8.4232278543770356E-2</v>
      </c>
      <c r="L404" s="88">
        <f t="shared" ref="L404" si="207">L403/K403-1</f>
        <v>7.7291977100961917E-2</v>
      </c>
      <c r="M404" s="1"/>
      <c r="N404" s="1"/>
    </row>
    <row r="405" spans="1:19" x14ac:dyDescent="0.25">
      <c r="A405" s="1"/>
      <c r="B405" s="13"/>
      <c r="C405" s="13"/>
      <c r="D405" s="1"/>
      <c r="E405" s="1"/>
      <c r="F405" s="1"/>
      <c r="G405" s="1"/>
      <c r="H405" s="1"/>
      <c r="I405" s="1"/>
      <c r="J405" s="1"/>
      <c r="K405" s="1"/>
      <c r="L405" s="1"/>
      <c r="M405" s="10"/>
      <c r="N405" s="10"/>
    </row>
    <row r="406" spans="1:19" x14ac:dyDescent="0.25">
      <c r="A406" s="115" t="s">
        <v>233</v>
      </c>
      <c r="B406" s="89"/>
      <c r="C406" s="89"/>
      <c r="D406" s="116">
        <f>D397+D379</f>
        <v>108704</v>
      </c>
      <c r="E406" s="116">
        <f t="shared" ref="E406:L406" si="208">E397+E379</f>
        <v>121271</v>
      </c>
      <c r="F406" s="116">
        <f t="shared" si="208"/>
        <v>142431</v>
      </c>
      <c r="G406" s="116">
        <f t="shared" si="208"/>
        <v>172384</v>
      </c>
      <c r="H406" s="116">
        <f t="shared" si="208"/>
        <v>181139.37210614255</v>
      </c>
      <c r="I406" s="116">
        <f t="shared" si="208"/>
        <v>188997.07811495182</v>
      </c>
      <c r="J406" s="116">
        <f t="shared" si="208"/>
        <v>197923.48364351375</v>
      </c>
      <c r="K406" s="116">
        <f t="shared" si="208"/>
        <v>206933.9932166631</v>
      </c>
      <c r="L406" s="117">
        <f t="shared" si="208"/>
        <v>215574.195801063</v>
      </c>
      <c r="M406" s="1"/>
      <c r="N406" s="1"/>
    </row>
    <row r="407" spans="1:19" x14ac:dyDescent="0.25">
      <c r="A407" s="118" t="s">
        <v>66</v>
      </c>
      <c r="B407" s="119"/>
      <c r="C407" s="119"/>
      <c r="D407" s="120">
        <f>D351</f>
        <v>108704</v>
      </c>
      <c r="E407" s="120">
        <f t="shared" ref="E407:L407" si="209">E351</f>
        <v>121270.99999999999</v>
      </c>
      <c r="F407" s="120">
        <f t="shared" si="209"/>
        <v>142431</v>
      </c>
      <c r="G407" s="120">
        <f t="shared" si="209"/>
        <v>172384</v>
      </c>
      <c r="H407" s="120">
        <f t="shared" si="209"/>
        <v>181139.37210614255</v>
      </c>
      <c r="I407" s="120">
        <f t="shared" si="209"/>
        <v>188997.07811495182</v>
      </c>
      <c r="J407" s="120">
        <f t="shared" si="209"/>
        <v>197923.48364351375</v>
      </c>
      <c r="K407" s="120">
        <f t="shared" si="209"/>
        <v>206933.9932166631</v>
      </c>
      <c r="L407" s="121">
        <f t="shared" si="209"/>
        <v>215574.195801063</v>
      </c>
      <c r="M407" s="1"/>
      <c r="N407" s="1"/>
    </row>
    <row r="408" spans="1:19" x14ac:dyDescent="0.25">
      <c r="A408" s="10"/>
      <c r="B408" s="18"/>
      <c r="C408" s="18"/>
      <c r="D408" s="54"/>
      <c r="E408" s="54"/>
      <c r="F408" s="54"/>
      <c r="G408" s="54"/>
      <c r="H408" s="22"/>
      <c r="I408" s="59"/>
      <c r="J408" s="18"/>
      <c r="K408" s="18"/>
      <c r="L408" s="18"/>
      <c r="M408" s="1"/>
      <c r="N408" s="1"/>
    </row>
    <row r="409" spans="1:19" x14ac:dyDescent="0.25">
      <c r="A409" s="10"/>
      <c r="B409" s="18"/>
      <c r="C409" s="18"/>
      <c r="D409" s="54"/>
      <c r="E409" s="54"/>
      <c r="F409" s="54"/>
      <c r="G409" s="54"/>
      <c r="H409" s="22"/>
      <c r="I409" s="59"/>
      <c r="J409" s="18"/>
      <c r="K409" s="18"/>
      <c r="L409" s="18"/>
      <c r="M409" s="1"/>
      <c r="N409" s="1"/>
    </row>
    <row r="410" spans="1:19" s="96" customFormat="1" ht="20.100000000000001" customHeight="1" x14ac:dyDescent="0.4">
      <c r="A410" s="93" t="s">
        <v>205</v>
      </c>
      <c r="B410" s="94"/>
      <c r="C410" s="94"/>
      <c r="D410" s="94"/>
      <c r="E410" s="94"/>
      <c r="F410" s="94"/>
      <c r="G410" s="94"/>
      <c r="H410" s="95"/>
      <c r="I410" s="94"/>
      <c r="J410" s="94"/>
      <c r="K410" s="94"/>
      <c r="L410" s="94"/>
      <c r="M410" s="94"/>
      <c r="N410" s="94"/>
    </row>
    <row r="411" spans="1:19" x14ac:dyDescent="0.25">
      <c r="A411" s="1" t="s">
        <v>175</v>
      </c>
      <c r="B411" s="1"/>
      <c r="C411" s="1"/>
      <c r="D411" s="1">
        <f>E411-1</f>
        <v>42181</v>
      </c>
      <c r="E411" s="1">
        <f>F411-1</f>
        <v>42182</v>
      </c>
      <c r="F411" s="1">
        <f>G411-1</f>
        <v>42183</v>
      </c>
      <c r="G411" s="1">
        <f>H412-1</f>
        <v>42184</v>
      </c>
      <c r="H411" s="2" t="s">
        <v>4</v>
      </c>
      <c r="I411" s="2" t="s">
        <v>5</v>
      </c>
      <c r="J411" s="2" t="s">
        <v>6</v>
      </c>
      <c r="K411" s="2" t="s">
        <v>7</v>
      </c>
      <c r="L411" s="2" t="s">
        <v>8</v>
      </c>
      <c r="M411" s="2" t="s">
        <v>35</v>
      </c>
      <c r="N411" s="2" t="s">
        <v>9</v>
      </c>
    </row>
    <row r="412" spans="1:19" x14ac:dyDescent="0.25">
      <c r="A412" s="3" t="s">
        <v>3</v>
      </c>
      <c r="B412" s="36"/>
      <c r="C412" s="13"/>
      <c r="D412" s="145">
        <f>D323</f>
        <v>40724</v>
      </c>
      <c r="E412" s="145">
        <f t="shared" ref="E412:G412" si="210">E323</f>
        <v>41090</v>
      </c>
      <c r="F412" s="145">
        <f t="shared" si="210"/>
        <v>41455</v>
      </c>
      <c r="G412" s="145">
        <f t="shared" si="210"/>
        <v>41820</v>
      </c>
      <c r="H412" s="145">
        <f>H323</f>
        <v>42185</v>
      </c>
      <c r="I412" s="145">
        <f t="shared" ref="I412:L412" si="211">I323</f>
        <v>42550</v>
      </c>
      <c r="J412" s="145">
        <f t="shared" si="211"/>
        <v>42915</v>
      </c>
      <c r="K412" s="145">
        <f t="shared" si="211"/>
        <v>43280</v>
      </c>
      <c r="L412" s="145">
        <f t="shared" si="211"/>
        <v>43645</v>
      </c>
      <c r="M412" s="30"/>
      <c r="N412" s="10"/>
    </row>
    <row r="413" spans="1:19" x14ac:dyDescent="0.25">
      <c r="A413" s="10" t="str">
        <f>A201</f>
        <v>Inventories</v>
      </c>
      <c r="B413" s="18"/>
      <c r="C413" s="18"/>
      <c r="D413" s="54">
        <f t="shared" ref="D413:G416" si="212">D201</f>
        <v>1372</v>
      </c>
      <c r="E413" s="54">
        <f t="shared" si="212"/>
        <v>1137</v>
      </c>
      <c r="F413" s="54">
        <f t="shared" si="212"/>
        <v>1938</v>
      </c>
      <c r="G413" s="54">
        <f t="shared" si="212"/>
        <v>2660</v>
      </c>
      <c r="H413" s="54">
        <f>H326</f>
        <v>3031.437594246715</v>
      </c>
      <c r="I413" s="54">
        <f>I326</f>
        <v>2855.2835377393212</v>
      </c>
      <c r="J413" s="54">
        <f>J326</f>
        <v>2978.4106660003495</v>
      </c>
      <c r="K413" s="54">
        <f>K326</f>
        <v>3056.4132278934071</v>
      </c>
      <c r="L413" s="54">
        <f>L326</f>
        <v>3090.6526514560105</v>
      </c>
      <c r="M413" s="1"/>
      <c r="N413" s="1"/>
      <c r="P413" s="1" t="s">
        <v>140</v>
      </c>
      <c r="R413" s="66">
        <f>G440-AVERAGE(E440:G440)</f>
        <v>-0.23949084118052399</v>
      </c>
      <c r="S413" t="str">
        <f>IF(R413&lt;0, "fell", "increased")</f>
        <v>fell</v>
      </c>
    </row>
    <row r="414" spans="1:19" x14ac:dyDescent="0.25">
      <c r="A414" s="10" t="str">
        <f>A202</f>
        <v>Receivables</v>
      </c>
      <c r="B414" s="18"/>
      <c r="C414" s="18"/>
      <c r="D414" s="54">
        <f t="shared" si="212"/>
        <v>14987</v>
      </c>
      <c r="E414" s="54">
        <f t="shared" si="212"/>
        <v>15780</v>
      </c>
      <c r="F414" s="54">
        <f t="shared" si="212"/>
        <v>17486</v>
      </c>
      <c r="G414" s="54">
        <f t="shared" si="212"/>
        <v>19544</v>
      </c>
      <c r="H414" s="54">
        <f>H328</f>
        <v>21010.412267145817</v>
      </c>
      <c r="I414" s="54">
        <f>I328</f>
        <v>20790.589688417302</v>
      </c>
      <c r="J414" s="54">
        <f>J328</f>
        <v>22232.047637189418</v>
      </c>
      <c r="K414" s="54">
        <f>K328</f>
        <v>23396.295200457247</v>
      </c>
      <c r="L414" s="54">
        <f>L328</f>
        <v>24271.291349426836</v>
      </c>
      <c r="M414" s="1"/>
      <c r="N414" s="1"/>
      <c r="P414" s="5">
        <f>AVERAGE(E440:G440)</f>
        <v>1.0806520858577366</v>
      </c>
      <c r="Q414" s="1" t="str">
        <f>IF(P414&gt;R417, "above", "below")</f>
        <v>above</v>
      </c>
    </row>
    <row r="415" spans="1:19" x14ac:dyDescent="0.25">
      <c r="A415" s="10" t="str">
        <f>A203</f>
        <v>Current Deferred Income Taxes</v>
      </c>
      <c r="B415" s="18"/>
      <c r="C415" s="18"/>
      <c r="D415" s="54">
        <f t="shared" si="212"/>
        <v>2467</v>
      </c>
      <c r="E415" s="54">
        <f t="shared" si="212"/>
        <v>2035</v>
      </c>
      <c r="F415" s="54">
        <f t="shared" si="212"/>
        <v>1632</v>
      </c>
      <c r="G415" s="54">
        <f t="shared" si="212"/>
        <v>1941</v>
      </c>
      <c r="H415" s="54">
        <f t="shared" ref="H415:L416" si="213">H203</f>
        <v>1941</v>
      </c>
      <c r="I415" s="54">
        <f t="shared" si="213"/>
        <v>1941</v>
      </c>
      <c r="J415" s="54">
        <f t="shared" si="213"/>
        <v>1941</v>
      </c>
      <c r="K415" s="54">
        <f t="shared" si="213"/>
        <v>1941</v>
      </c>
      <c r="L415" s="54">
        <f t="shared" si="213"/>
        <v>1941</v>
      </c>
      <c r="M415" s="1"/>
      <c r="N415" s="1"/>
      <c r="P415" s="1" t="s">
        <v>147</v>
      </c>
      <c r="Q415" s="67">
        <f>S416</f>
        <v>0.14579010716493968</v>
      </c>
    </row>
    <row r="416" spans="1:19" x14ac:dyDescent="0.25">
      <c r="A416" s="10" t="str">
        <f>A204</f>
        <v>Other Current Assets + Prepaid Expenses - Balance Sheet</v>
      </c>
      <c r="B416" s="18"/>
      <c r="C416" s="18"/>
      <c r="D416" s="54">
        <f t="shared" si="212"/>
        <v>3320</v>
      </c>
      <c r="E416" s="54">
        <f t="shared" si="212"/>
        <v>3092</v>
      </c>
      <c r="F416" s="54">
        <f t="shared" si="212"/>
        <v>3388</v>
      </c>
      <c r="G416" s="54">
        <f t="shared" si="212"/>
        <v>4392</v>
      </c>
      <c r="H416" s="54">
        <f t="shared" si="213"/>
        <v>4392</v>
      </c>
      <c r="I416" s="54">
        <f t="shared" si="213"/>
        <v>4392</v>
      </c>
      <c r="J416" s="54">
        <f t="shared" si="213"/>
        <v>4392</v>
      </c>
      <c r="K416" s="54">
        <f t="shared" si="213"/>
        <v>4392</v>
      </c>
      <c r="L416" s="54">
        <f t="shared" si="213"/>
        <v>4392</v>
      </c>
      <c r="M416" s="1"/>
      <c r="N416" s="1"/>
      <c r="P416" s="1" t="s">
        <v>148</v>
      </c>
      <c r="Q416" s="67">
        <f>S417</f>
        <v>9.5790107164939658E-2</v>
      </c>
      <c r="S416" s="67">
        <f>Q416+0.05</f>
        <v>0.14579010716493968</v>
      </c>
    </row>
    <row r="417" spans="1:19" x14ac:dyDescent="0.25">
      <c r="A417" s="10" t="s">
        <v>129</v>
      </c>
      <c r="B417" s="18"/>
      <c r="C417" s="18"/>
      <c r="D417" s="54">
        <f>D341</f>
        <v>8162</v>
      </c>
      <c r="E417" s="54">
        <f t="shared" ref="E417:G417" si="214">E341</f>
        <v>8269</v>
      </c>
      <c r="F417" s="54">
        <f t="shared" si="214"/>
        <v>9991</v>
      </c>
      <c r="G417" s="54">
        <f t="shared" si="214"/>
        <v>13011</v>
      </c>
      <c r="H417" s="54">
        <f>G417+H197-H95</f>
        <v>13337.573599999998</v>
      </c>
      <c r="I417" s="54">
        <f>H417+I197-I95</f>
        <v>13976.542549199998</v>
      </c>
      <c r="J417" s="54">
        <f>I417+J197-J95</f>
        <v>14433.192358228265</v>
      </c>
      <c r="K417" s="54">
        <f>J417+K197-K95</f>
        <v>14674.075132490674</v>
      </c>
      <c r="L417" s="54">
        <f>K417+L197-L95</f>
        <v>14674.075132490674</v>
      </c>
      <c r="M417" s="1"/>
      <c r="N417" s="1"/>
      <c r="P417" s="1" t="s">
        <v>149</v>
      </c>
      <c r="Q417" s="66">
        <f>R417</f>
        <v>9.5790107164939658E-2</v>
      </c>
      <c r="R417" s="66">
        <f>B42</f>
        <v>9.5790107164939658E-2</v>
      </c>
      <c r="S417" s="67">
        <f>R417</f>
        <v>9.5790107164939658E-2</v>
      </c>
    </row>
    <row r="418" spans="1:19" x14ac:dyDescent="0.25">
      <c r="A418" s="169" t="s">
        <v>420</v>
      </c>
      <c r="B418" s="18"/>
      <c r="C418" s="18"/>
      <c r="D418" s="146">
        <f>IF(ISERROR(VLOOKUP("Cost in Excess",Annual!$A$246:$E$324, 5,0)), 0, VLOOKUP("Cost in Excess",Annual!$A$246:$E$324, 5,0))</f>
        <v>12581</v>
      </c>
      <c r="E418" s="146">
        <f>IF(ISERROR(VLOOKUP("Cost in Excess",Annual!$A$246:$E$324, 4,0)), 0, VLOOKUP("Cost in Excess",Annual!$A$246:$E$324, 4,0))</f>
        <v>13452</v>
      </c>
      <c r="F418" s="146">
        <f>IF(ISERROR(VLOOKUP("Cost in Excess",Annual!$A$246:$E$324, 3,0)), 0, VLOOKUP("Cost in Excess",Annual!$A$246:$E$324, 3,0))</f>
        <v>14655</v>
      </c>
      <c r="G418" s="146">
        <f>IF(ISERROR(VLOOKUP("Cost in Excess",Annual!$A$246:$E$324, 2,0)), 0, VLOOKUP("Cost in Excess",Annual!$A$246:$E$324, 2,0))</f>
        <v>20127</v>
      </c>
      <c r="H418" s="54">
        <f>G418-0.25*H288</f>
        <v>20127</v>
      </c>
      <c r="I418" s="54">
        <f t="shared" ref="I418:L418" si="215">H418-0.25*I288</f>
        <v>20127</v>
      </c>
      <c r="J418" s="54">
        <f t="shared" si="215"/>
        <v>20127</v>
      </c>
      <c r="K418" s="54">
        <f t="shared" si="215"/>
        <v>20127</v>
      </c>
      <c r="L418" s="54">
        <f t="shared" si="215"/>
        <v>20127</v>
      </c>
      <c r="M418" s="1"/>
      <c r="N418" s="1"/>
      <c r="P418" s="1" t="s">
        <v>150</v>
      </c>
      <c r="Q418">
        <v>0</v>
      </c>
      <c r="S418" s="66">
        <f>Q417</f>
        <v>9.5790107164939658E-2</v>
      </c>
    </row>
    <row r="419" spans="1:19" x14ac:dyDescent="0.25">
      <c r="A419" s="169" t="s">
        <v>340</v>
      </c>
      <c r="B419" s="18"/>
      <c r="C419" s="18"/>
      <c r="D419" s="146">
        <f>IF(ISERROR(VLOOKUP(A419,Annual!$A$246:$E$324, 5,0)), 0, VLOOKUP(A419,Annual!$A$246:$E$324, 5,0))</f>
        <v>744</v>
      </c>
      <c r="E419" s="146">
        <f>IF(ISERROR(VLOOKUP(A419,Annual!$A$246:$E$324, 4,0)), 0, VLOOKUP(A419,Annual!$A$246:$E$324, 4,0))</f>
        <v>3170</v>
      </c>
      <c r="F419" s="146">
        <f>IF(ISERROR(VLOOKUP(A419,Annual!$A$246:$E$324, 3,0)), 0, VLOOKUP(A419,Annual!$A$246:$E$324, 3,0))</f>
        <v>3083</v>
      </c>
      <c r="G419" s="146">
        <f>IF(ISERROR(VLOOKUP(A419,Annual!$A$246:$E$324, 2,0)), 0, VLOOKUP(A419,Annual!$A$246:$E$324, 2,0))</f>
        <v>6981</v>
      </c>
      <c r="H419" s="54">
        <f>G419-H102-0.25*H288</f>
        <v>6981</v>
      </c>
      <c r="I419" s="54">
        <f>H419-I102-0.25*I288</f>
        <v>6981</v>
      </c>
      <c r="J419" s="54">
        <f>I419-J102-0.25*J288</f>
        <v>6981</v>
      </c>
      <c r="K419" s="54">
        <f>J419-K102-0.25*K288</f>
        <v>6981</v>
      </c>
      <c r="L419" s="54">
        <f>K419-L102-0.25*L288</f>
        <v>6981</v>
      </c>
      <c r="M419" s="1"/>
      <c r="N419" s="1"/>
      <c r="P419" s="1" t="s">
        <v>151</v>
      </c>
      <c r="S419">
        <f>Q418</f>
        <v>0</v>
      </c>
    </row>
    <row r="420" spans="1:19" x14ac:dyDescent="0.25">
      <c r="A420" s="169" t="s">
        <v>342</v>
      </c>
      <c r="B420" s="18"/>
      <c r="C420" s="18"/>
      <c r="D420" s="146">
        <f>IF(ISERROR(VLOOKUP(A420,Annual!$A$246:$E$324,5,0)),0,VLOOKUP(A420,Annual!$A$246:$E$324,5,0))</f>
        <v>0</v>
      </c>
      <c r="E420" s="146">
        <f>IF(ISERROR(VLOOKUP(A420,Annual!$A$246:$E$324, 4,0)), 0, VLOOKUP(A420,Annual!$A$246:$E$324, 4,0))</f>
        <v>0</v>
      </c>
      <c r="F420" s="146">
        <f>IF(ISERROR(VLOOKUP(A420,Annual!$A$246:$E$324, 3,0)), 0, VLOOKUP(A420,Annual!$A$246:$E$324, 3,0))</f>
        <v>0</v>
      </c>
      <c r="G420" s="146">
        <f>IF(ISERROR(VLOOKUP(A420,Annual!$A$246:$E$324, 2,0)), 0, VLOOKUP(A420,Annual!$A$246:$E$324, 2,0))</f>
        <v>0</v>
      </c>
      <c r="H420" s="54">
        <f>G420</f>
        <v>0</v>
      </c>
      <c r="I420" s="54">
        <f t="shared" ref="I420:L421" si="216">H420</f>
        <v>0</v>
      </c>
      <c r="J420" s="54">
        <f t="shared" si="216"/>
        <v>0</v>
      </c>
      <c r="K420" s="54">
        <f t="shared" si="216"/>
        <v>0</v>
      </c>
      <c r="L420" s="54">
        <f t="shared" si="216"/>
        <v>0</v>
      </c>
      <c r="M420" s="1"/>
      <c r="N420" s="1"/>
    </row>
    <row r="421" spans="1:19" x14ac:dyDescent="0.25">
      <c r="A421" s="169" t="s">
        <v>343</v>
      </c>
      <c r="B421" s="18"/>
      <c r="C421" s="18"/>
      <c r="D421" s="146">
        <f>VLOOKUP(A421,Annual!$A$246:$E$324, 5,0)</f>
        <v>12299</v>
      </c>
      <c r="E421" s="146">
        <f>VLOOKUP(A421,Annual!$A$246:$E$324, 4,0)</f>
        <v>11296</v>
      </c>
      <c r="F421" s="146">
        <f>VLOOKUP(A421,Annual!$A$246:$E$324, 3,0)</f>
        <v>13236</v>
      </c>
      <c r="G421" s="146">
        <f>VLOOKUP(A421,Annual!$A$246:$E$324, 2,0)</f>
        <v>18019</v>
      </c>
      <c r="H421" s="54">
        <f>G421</f>
        <v>18019</v>
      </c>
      <c r="I421" s="54">
        <f t="shared" si="216"/>
        <v>18019</v>
      </c>
      <c r="J421" s="54">
        <f t="shared" si="216"/>
        <v>18019</v>
      </c>
      <c r="K421" s="54">
        <f t="shared" si="216"/>
        <v>18019</v>
      </c>
      <c r="L421" s="54">
        <f t="shared" si="216"/>
        <v>18019</v>
      </c>
      <c r="M421" s="1"/>
      <c r="N421" s="1"/>
    </row>
    <row r="422" spans="1:19" x14ac:dyDescent="0.25">
      <c r="A422" s="10" t="s">
        <v>214</v>
      </c>
      <c r="B422" s="18"/>
      <c r="C422" s="18"/>
      <c r="D422" s="54">
        <f t="shared" ref="D422:L422" si="217">D350</f>
        <v>0</v>
      </c>
      <c r="E422" s="54">
        <f t="shared" si="217"/>
        <v>0</v>
      </c>
      <c r="F422" s="54">
        <f t="shared" si="217"/>
        <v>0</v>
      </c>
      <c r="G422" s="54">
        <f t="shared" si="217"/>
        <v>0</v>
      </c>
      <c r="H422" s="54">
        <f t="shared" si="217"/>
        <v>0</v>
      </c>
      <c r="I422" s="54">
        <f t="shared" si="217"/>
        <v>0</v>
      </c>
      <c r="J422" s="54">
        <f t="shared" si="217"/>
        <v>0</v>
      </c>
      <c r="K422" s="54">
        <f t="shared" si="217"/>
        <v>0</v>
      </c>
      <c r="L422" s="54">
        <f t="shared" si="217"/>
        <v>0</v>
      </c>
      <c r="M422" s="1"/>
      <c r="N422" s="1"/>
    </row>
    <row r="423" spans="1:19" x14ac:dyDescent="0.25">
      <c r="A423" s="10"/>
      <c r="B423" s="18"/>
      <c r="C423" s="18"/>
      <c r="D423" s="54"/>
      <c r="E423" s="54"/>
      <c r="F423" s="54"/>
      <c r="G423" s="54"/>
      <c r="H423" s="54"/>
      <c r="I423" s="54"/>
      <c r="J423" s="54"/>
      <c r="K423" s="54"/>
      <c r="L423" s="54"/>
      <c r="M423" s="1"/>
      <c r="N423" s="1"/>
    </row>
    <row r="424" spans="1:19" x14ac:dyDescent="0.25">
      <c r="A424" s="10" t="str">
        <f>A205</f>
        <v>Accounts Payable</v>
      </c>
      <c r="B424" s="18"/>
      <c r="C424" s="18"/>
      <c r="D424" s="54">
        <f t="shared" ref="D424:G426" si="218">D205</f>
        <v>5405</v>
      </c>
      <c r="E424" s="54">
        <f t="shared" si="218"/>
        <v>4989</v>
      </c>
      <c r="F424" s="54">
        <f t="shared" si="218"/>
        <v>5473</v>
      </c>
      <c r="G424" s="54">
        <f t="shared" si="218"/>
        <v>7990</v>
      </c>
      <c r="H424" s="54">
        <f>H356</f>
        <v>9336.3959932757771</v>
      </c>
      <c r="I424" s="54">
        <f>I356</f>
        <v>8753.8118830366056</v>
      </c>
      <c r="J424" s="54">
        <f>J356</f>
        <v>9346.7921301258102</v>
      </c>
      <c r="K424" s="54">
        <f>K356</f>
        <v>9707.9379998344721</v>
      </c>
      <c r="L424" s="54">
        <f>L356</f>
        <v>9938.9856111628305</v>
      </c>
      <c r="M424" s="1"/>
      <c r="N424" s="1"/>
    </row>
    <row r="425" spans="1:19" x14ac:dyDescent="0.25">
      <c r="A425" s="10" t="str">
        <f>A206</f>
        <v>Accrued Expenses and Accrued Liabilities - Balance Sheet</v>
      </c>
      <c r="B425" s="18"/>
      <c r="C425" s="18"/>
      <c r="D425" s="54">
        <f t="shared" si="218"/>
        <v>3575</v>
      </c>
      <c r="E425" s="54">
        <f t="shared" si="218"/>
        <v>3875</v>
      </c>
      <c r="F425" s="54">
        <f t="shared" si="218"/>
        <v>4117</v>
      </c>
      <c r="G425" s="54">
        <f t="shared" si="218"/>
        <v>4797</v>
      </c>
      <c r="H425" s="54">
        <f t="shared" ref="H425:L426" si="219">H206</f>
        <v>4329.9386235633592</v>
      </c>
      <c r="I425" s="54">
        <f t="shared" si="219"/>
        <v>4539.6875651260798</v>
      </c>
      <c r="J425" s="54">
        <f t="shared" si="219"/>
        <v>4545.3507004689054</v>
      </c>
      <c r="K425" s="54">
        <f t="shared" si="219"/>
        <v>4611.9287893006476</v>
      </c>
      <c r="L425" s="54">
        <f t="shared" si="219"/>
        <v>4638.4887166829922</v>
      </c>
      <c r="M425" s="1"/>
      <c r="N425" s="1"/>
    </row>
    <row r="426" spans="1:19" x14ac:dyDescent="0.25">
      <c r="A426" s="10" t="s">
        <v>120</v>
      </c>
      <c r="B426" s="18"/>
      <c r="C426" s="18"/>
      <c r="D426" s="54">
        <f t="shared" si="218"/>
        <v>19794</v>
      </c>
      <c r="E426" s="54">
        <f t="shared" si="218"/>
        <v>22593</v>
      </c>
      <c r="F426" s="54">
        <f t="shared" si="218"/>
        <v>24828</v>
      </c>
      <c r="G426" s="54">
        <f t="shared" si="218"/>
        <v>30838</v>
      </c>
      <c r="H426" s="54">
        <f t="shared" si="219"/>
        <v>30838</v>
      </c>
      <c r="I426" s="54">
        <f t="shared" si="219"/>
        <v>30838</v>
      </c>
      <c r="J426" s="54">
        <f t="shared" si="219"/>
        <v>30838</v>
      </c>
      <c r="K426" s="54">
        <f t="shared" si="219"/>
        <v>30838</v>
      </c>
      <c r="L426" s="54">
        <f t="shared" si="219"/>
        <v>30838</v>
      </c>
      <c r="M426" s="1"/>
      <c r="N426" s="1"/>
    </row>
    <row r="427" spans="1:19" x14ac:dyDescent="0.25">
      <c r="A427" s="10" t="s">
        <v>393</v>
      </c>
      <c r="B427" s="18"/>
      <c r="C427" s="18"/>
      <c r="D427" s="54">
        <f>IF(Annual!E91="-", 0, Annual!E91)</f>
        <v>0</v>
      </c>
      <c r="E427" s="54">
        <f>IF(Annual!D91="-", 0, Annual!D91)</f>
        <v>0</v>
      </c>
      <c r="F427" s="54">
        <f>IF(Annual!C91="-", 0, Annual!C91)</f>
        <v>0</v>
      </c>
      <c r="G427" s="54">
        <f>IF(Annual!B91="-", 0, Annual!B91)</f>
        <v>0</v>
      </c>
      <c r="H427" s="54">
        <f>G427</f>
        <v>0</v>
      </c>
      <c r="I427" s="54">
        <f t="shared" ref="I427:L427" si="220">H427</f>
        <v>0</v>
      </c>
      <c r="J427" s="54">
        <f t="shared" si="220"/>
        <v>0</v>
      </c>
      <c r="K427" s="54">
        <f t="shared" si="220"/>
        <v>0</v>
      </c>
      <c r="L427" s="54">
        <f t="shared" si="220"/>
        <v>0</v>
      </c>
      <c r="M427" s="1"/>
      <c r="N427" s="1"/>
    </row>
    <row r="428" spans="1:19" x14ac:dyDescent="0.25">
      <c r="A428" s="10"/>
      <c r="B428" s="18"/>
      <c r="C428" s="18"/>
      <c r="D428" s="54"/>
      <c r="E428" s="54"/>
      <c r="F428" s="54"/>
      <c r="G428" s="54"/>
      <c r="H428" s="54"/>
      <c r="I428" s="54"/>
      <c r="J428" s="54"/>
      <c r="K428" s="54"/>
      <c r="L428" s="54"/>
      <c r="M428" s="1"/>
      <c r="N428" s="1"/>
    </row>
    <row r="429" spans="1:19" x14ac:dyDescent="0.25">
      <c r="A429" s="10"/>
      <c r="B429" s="18"/>
      <c r="C429" s="18"/>
      <c r="D429" s="54"/>
      <c r="E429" s="54"/>
      <c r="F429" s="54"/>
      <c r="G429" s="54"/>
      <c r="H429" s="54"/>
      <c r="I429" s="54"/>
      <c r="J429" s="54"/>
      <c r="K429" s="54"/>
      <c r="L429" s="54"/>
      <c r="M429" s="1"/>
      <c r="N429" s="1"/>
    </row>
    <row r="430" spans="1:19" x14ac:dyDescent="0.25">
      <c r="A430" s="10" t="s">
        <v>181</v>
      </c>
      <c r="B430" s="18"/>
      <c r="C430" s="18"/>
      <c r="D430" s="54"/>
      <c r="E430" s="54"/>
      <c r="F430" s="54"/>
      <c r="G430" s="54"/>
      <c r="H430" s="54">
        <f>H232</f>
        <v>-14129.484755446603</v>
      </c>
      <c r="I430" s="54">
        <f>I232</f>
        <v>-14152.626222006063</v>
      </c>
      <c r="J430" s="54">
        <f>J232</f>
        <v>-13186.684527404948</v>
      </c>
      <c r="K430" s="54">
        <f>K232</f>
        <v>-12372.158360784466</v>
      </c>
      <c r="L430" s="54">
        <f>L232</f>
        <v>-11720.530326962979</v>
      </c>
      <c r="M430" s="1"/>
      <c r="N430" s="1"/>
    </row>
    <row r="431" spans="1:19" x14ac:dyDescent="0.25">
      <c r="A431" s="10" t="s">
        <v>257</v>
      </c>
      <c r="B431" s="18"/>
      <c r="C431" s="18"/>
      <c r="D431" s="54">
        <f>IF($G$68=Annual!$B$145,Annual!E264+Annual!E272-Annual!E285-Annual!E290, Annual!D264+Annual!D272-Annual!D285-Annual!D290)</f>
        <v>-64932</v>
      </c>
      <c r="E431" s="54">
        <f>IF($G$68=Annual!$B$145,Annual!D264+Annual!D272-Annual!D285-Annual!D290, Annual!C264+Annual!C272-Annual!C285-Annual!C290)</f>
        <v>-77437</v>
      </c>
      <c r="F431" s="54">
        <f>IF($G$68=Annual!$B$145,Annual!C264+Annual!C272-Annual!C285-Annual!C290, Annual!B264+Annual!B272-Annual!B285-Annual!B290)</f>
        <v>-92621</v>
      </c>
      <c r="G431" s="54">
        <f>IF($G$68=Annual!$B$145,Annual!B264+Annual!B272-Annual!B285-Annual!B290, F431)</f>
        <v>-92621</v>
      </c>
      <c r="H431" s="54"/>
      <c r="I431" s="54"/>
      <c r="J431" s="54"/>
      <c r="K431" s="54"/>
      <c r="L431" s="54"/>
      <c r="M431" s="1"/>
      <c r="N431" s="1"/>
    </row>
    <row r="432" spans="1:19" x14ac:dyDescent="0.25">
      <c r="A432" s="10"/>
      <c r="B432" s="18"/>
      <c r="C432" s="18"/>
      <c r="D432" s="54"/>
      <c r="E432" s="54"/>
      <c r="F432" s="54"/>
      <c r="G432" s="54"/>
      <c r="H432" s="54"/>
      <c r="I432" s="54"/>
      <c r="J432" s="54"/>
      <c r="K432" s="54"/>
      <c r="L432" s="54"/>
      <c r="M432" s="1"/>
      <c r="N432" s="1"/>
    </row>
    <row r="433" spans="1:14" x14ac:dyDescent="0.25">
      <c r="A433" s="10" t="s">
        <v>237</v>
      </c>
      <c r="B433" s="18"/>
      <c r="C433" s="18"/>
      <c r="D433" s="54"/>
      <c r="E433" s="54"/>
      <c r="F433" s="54"/>
      <c r="G433" s="54"/>
      <c r="H433" s="107">
        <f>SUM(H413:H420)-SUM(H424:H426)</f>
        <v>26316.088844553386</v>
      </c>
      <c r="I433" s="107">
        <f t="shared" ref="I433:L433" si="221">SUM(I413:I420)-SUM(I424:I426)</f>
        <v>26931.916327193925</v>
      </c>
      <c r="J433" s="107">
        <f t="shared" si="221"/>
        <v>28354.507830823321</v>
      </c>
      <c r="K433" s="107">
        <f t="shared" si="221"/>
        <v>29409.916771706208</v>
      </c>
      <c r="L433" s="107">
        <f t="shared" si="221"/>
        <v>30061.544805527694</v>
      </c>
      <c r="M433" s="1"/>
      <c r="N433" s="1"/>
    </row>
    <row r="434" spans="1:14" x14ac:dyDescent="0.25">
      <c r="A434" s="10" t="s">
        <v>130</v>
      </c>
      <c r="B434" s="18"/>
      <c r="C434" s="18"/>
      <c r="D434" s="48">
        <f>SUM(D413:D420)-SUM(D424:D425)</f>
        <v>34653</v>
      </c>
      <c r="E434" s="48">
        <f>SUM(E413:E420)-SUM(E424:E425)</f>
        <v>38071</v>
      </c>
      <c r="F434" s="48">
        <f t="shared" ref="F434:G434" si="222">SUM(F413:F420)-SUM(F424:F425)</f>
        <v>42583</v>
      </c>
      <c r="G434" s="48">
        <f t="shared" si="222"/>
        <v>55869</v>
      </c>
      <c r="H434" s="54">
        <f>SUM(H413:H420)-SUM(H424:H425)</f>
        <v>57154.088844553386</v>
      </c>
      <c r="I434" s="54">
        <f t="shared" ref="I434:L434" si="223">SUM(I413:I420)-SUM(I424:I425)</f>
        <v>57769.916327193925</v>
      </c>
      <c r="J434" s="54">
        <f t="shared" si="223"/>
        <v>59192.507830823321</v>
      </c>
      <c r="K434" s="54">
        <f t="shared" si="223"/>
        <v>60247.916771706208</v>
      </c>
      <c r="L434" s="54">
        <f t="shared" si="223"/>
        <v>60899.544805527694</v>
      </c>
      <c r="M434" s="1"/>
      <c r="N434" s="1"/>
    </row>
    <row r="435" spans="1:14" x14ac:dyDescent="0.25">
      <c r="A435" s="10" t="s">
        <v>131</v>
      </c>
      <c r="B435" s="18"/>
      <c r="C435" s="18"/>
      <c r="D435" s="48">
        <f t="shared" ref="D435:L435" si="224">D434-D418</f>
        <v>22072</v>
      </c>
      <c r="E435" s="48">
        <f t="shared" si="224"/>
        <v>24619</v>
      </c>
      <c r="F435" s="48">
        <f t="shared" si="224"/>
        <v>27928</v>
      </c>
      <c r="G435" s="48">
        <f t="shared" si="224"/>
        <v>35742</v>
      </c>
      <c r="H435" s="54">
        <f t="shared" si="224"/>
        <v>37027.088844553386</v>
      </c>
      <c r="I435" s="54">
        <f t="shared" si="224"/>
        <v>37642.916327193925</v>
      </c>
      <c r="J435" s="54">
        <f t="shared" si="224"/>
        <v>39065.507830823321</v>
      </c>
      <c r="K435" s="54">
        <f t="shared" si="224"/>
        <v>40120.916771706208</v>
      </c>
      <c r="L435" s="54">
        <f t="shared" si="224"/>
        <v>40772.544805527694</v>
      </c>
      <c r="M435" s="1"/>
    </row>
    <row r="436" spans="1:14" x14ac:dyDescent="0.25">
      <c r="A436" s="10"/>
      <c r="B436" s="18"/>
      <c r="C436" s="18"/>
      <c r="D436" s="10"/>
      <c r="E436" s="10"/>
      <c r="F436" s="10"/>
      <c r="G436" s="10"/>
      <c r="H436" s="19"/>
      <c r="I436" s="32"/>
      <c r="J436" s="10"/>
      <c r="K436" s="10"/>
      <c r="L436" s="10"/>
      <c r="M436" s="1"/>
    </row>
    <row r="437" spans="1:14" x14ac:dyDescent="0.25">
      <c r="A437" s="10" t="s">
        <v>67</v>
      </c>
      <c r="B437" s="18"/>
      <c r="C437" s="16"/>
      <c r="D437" s="12"/>
      <c r="E437" s="12">
        <f>E147/(AVERAGE(D396:E396))</f>
        <v>0.27506764091181568</v>
      </c>
      <c r="F437" s="12">
        <f>F147/(AVERAGE(E396:F396))</f>
        <v>0.30092149724376666</v>
      </c>
      <c r="G437" s="12">
        <f>G147/(AVERAGE(F396:G396))</f>
        <v>0.26165188943151108</v>
      </c>
      <c r="H437" s="12">
        <f>H147/(AVERAGE(G397:H397))</f>
        <v>0.21899858950661261</v>
      </c>
      <c r="I437" s="12">
        <f>I147/(AVERAGE(H397:I397))</f>
        <v>0.22046880657882076</v>
      </c>
      <c r="J437" s="12">
        <f>J147/(AVERAGE(I397:J397))</f>
        <v>0.22521904262158043</v>
      </c>
      <c r="K437" s="12">
        <f>K147/(AVERAGE(J397:K397))</f>
        <v>0.22721490783714504</v>
      </c>
      <c r="L437" s="12">
        <f>L147/(AVERAGE(K397:L397))</f>
        <v>0.22691778522037998</v>
      </c>
      <c r="M437" s="1"/>
    </row>
    <row r="438" spans="1:14" x14ac:dyDescent="0.25">
      <c r="A438" s="10" t="s">
        <v>117</v>
      </c>
      <c r="B438" s="18"/>
      <c r="C438" s="16"/>
      <c r="D438" s="12"/>
      <c r="E438" s="12">
        <f>E147/AVERAGE(D352:E352)</f>
        <v>0.14765083161213174</v>
      </c>
      <c r="F438" s="12">
        <f>F147/AVERAGE(E352:F352)</f>
        <v>0.16581595892333012</v>
      </c>
      <c r="G438" s="12">
        <f>G147/AVERAGE(F352:G352)</f>
        <v>0.14023474103838762</v>
      </c>
      <c r="H438" s="12">
        <f>H147/AVERAGE(G352:H352)</f>
        <v>0.11906551600375342</v>
      </c>
      <c r="I438" s="12">
        <f>I147/AVERAGE(H351:I351)</f>
        <v>0.1212432912119602</v>
      </c>
      <c r="J438" s="12">
        <f>J147/AVERAGE(I351:J351)</f>
        <v>0.12812118304696374</v>
      </c>
      <c r="K438" s="12">
        <f>K147/AVERAGE(J351:K351)</f>
        <v>0.13302053063786379</v>
      </c>
      <c r="L438" s="12">
        <f>L147/AVERAGE(K351:L351)</f>
        <v>0.13640843103931927</v>
      </c>
      <c r="M438" s="1"/>
    </row>
    <row r="439" spans="1:14" x14ac:dyDescent="0.25">
      <c r="A439" s="10" t="s">
        <v>132</v>
      </c>
      <c r="B439" s="18"/>
      <c r="C439" s="16"/>
      <c r="D439" s="12"/>
      <c r="E439" s="12">
        <f t="shared" ref="E439:L439" si="225">IF(ISERROR(E241/(AVERAGE(D434:E434))),"n/a",E241/(AVERAGE(D434:E434)))</f>
        <v>0.90982097465413991</v>
      </c>
      <c r="F439" s="12">
        <f t="shared" si="225"/>
        <v>0.64088844722431504</v>
      </c>
      <c r="G439" s="12">
        <f t="shared" si="225"/>
        <v>0.54398830342296889</v>
      </c>
      <c r="H439" s="12">
        <f t="shared" si="225"/>
        <v>0.41408346167237298</v>
      </c>
      <c r="I439" s="12">
        <f t="shared" si="225"/>
        <v>0.44215061511695436</v>
      </c>
      <c r="J439" s="12">
        <f t="shared" si="225"/>
        <v>0.47623507427917044</v>
      </c>
      <c r="K439" s="12">
        <f t="shared" si="225"/>
        <v>0.50385560534869056</v>
      </c>
      <c r="L439" s="12">
        <f t="shared" si="225"/>
        <v>0.52963104827620477</v>
      </c>
      <c r="M439" s="1"/>
    </row>
    <row r="440" spans="1:14" x14ac:dyDescent="0.25">
      <c r="A440" s="10" t="s">
        <v>133</v>
      </c>
      <c r="B440" s="18"/>
      <c r="C440" s="16"/>
      <c r="D440" s="12"/>
      <c r="E440" s="12">
        <f t="shared" ref="E440:L440" si="226">E241/AVERAGE(D435:E435)</f>
        <v>1.4171000955376341</v>
      </c>
      <c r="F440" s="12">
        <f t="shared" si="226"/>
        <v>0.98369491735836312</v>
      </c>
      <c r="G440" s="12">
        <f t="shared" si="226"/>
        <v>0.84116124467721265</v>
      </c>
      <c r="H440" s="12">
        <f t="shared" si="226"/>
        <v>0.6431438488618616</v>
      </c>
      <c r="I440" s="12">
        <f t="shared" si="226"/>
        <v>0.68051046014415395</v>
      </c>
      <c r="J440" s="12">
        <f t="shared" si="226"/>
        <v>0.72614721744278565</v>
      </c>
      <c r="K440" s="12">
        <f t="shared" si="226"/>
        <v>0.75998793661015651</v>
      </c>
      <c r="L440" s="12">
        <f t="shared" si="226"/>
        <v>0.79318471258509415</v>
      </c>
      <c r="M440" s="1"/>
    </row>
    <row r="441" spans="1:14" x14ac:dyDescent="0.25">
      <c r="A441" s="1"/>
      <c r="B441" s="13"/>
      <c r="C441" s="13"/>
      <c r="D441" s="1"/>
      <c r="E441" s="1"/>
      <c r="F441" s="1"/>
      <c r="G441" s="1"/>
      <c r="H441" s="6"/>
      <c r="I441" s="29"/>
      <c r="J441" s="1"/>
      <c r="K441" s="1"/>
      <c r="L441" s="1"/>
      <c r="M441" s="1"/>
    </row>
    <row r="442" spans="1:14" x14ac:dyDescent="0.25">
      <c r="A442" s="1" t="s">
        <v>134</v>
      </c>
      <c r="B442" s="13"/>
      <c r="C442" s="13"/>
      <c r="D442" s="1"/>
      <c r="E442" s="5">
        <f>E440-$B$42</f>
        <v>1.3213099883726944</v>
      </c>
      <c r="F442" s="5">
        <f>F440-$B$42</f>
        <v>0.88790481019342349</v>
      </c>
      <c r="G442" s="5">
        <f>G440-$B$42</f>
        <v>0.74537113751227302</v>
      </c>
      <c r="H442" s="5">
        <f t="shared" ref="H442:L442" si="227">H440-$B$42</f>
        <v>0.54735374169692197</v>
      </c>
      <c r="I442" s="5">
        <f t="shared" si="227"/>
        <v>0.58472035297921432</v>
      </c>
      <c r="J442" s="5">
        <f t="shared" si="227"/>
        <v>0.63035711027784602</v>
      </c>
      <c r="K442" s="5">
        <f t="shared" si="227"/>
        <v>0.66419782944521688</v>
      </c>
      <c r="L442" s="5">
        <f t="shared" si="227"/>
        <v>0.69739460542015452</v>
      </c>
      <c r="M442" s="1"/>
      <c r="N442" s="1"/>
    </row>
    <row r="443" spans="1:14" x14ac:dyDescent="0.25">
      <c r="A443" s="1"/>
      <c r="B443" s="13"/>
      <c r="C443" s="13"/>
      <c r="D443" s="1"/>
      <c r="E443" s="5"/>
      <c r="F443" s="5"/>
      <c r="G443" s="5"/>
      <c r="H443" s="22"/>
      <c r="I443" s="59"/>
      <c r="J443" s="18"/>
      <c r="K443" s="18"/>
      <c r="L443" s="18"/>
      <c r="M443" s="1"/>
      <c r="N443" s="1"/>
    </row>
    <row r="444" spans="1:14" x14ac:dyDescent="0.25">
      <c r="A444" s="1" t="s">
        <v>242</v>
      </c>
      <c r="B444" s="13"/>
      <c r="C444" s="13"/>
      <c r="D444" s="1"/>
      <c r="E444" s="5"/>
      <c r="F444" s="5"/>
      <c r="G444" s="5"/>
      <c r="H444" s="16">
        <f>H259/AVERAGE($G$435:$H$435)</f>
        <v>0.66436617313346591</v>
      </c>
      <c r="I444" s="16">
        <f>I259/AVERAGE($H$435:$I$435)</f>
        <v>0.72542113970971356</v>
      </c>
      <c r="J444" s="16">
        <f>J259/AVERAGE($I$435:$J$435)</f>
        <v>0.79803097289546621</v>
      </c>
      <c r="K444" s="16">
        <f>K259/AVERAGE($J$435:$K$435)</f>
        <v>0.86029961936536159</v>
      </c>
      <c r="L444" s="16">
        <f>L259/AVERAGE($K$435:$L$435)</f>
        <v>0.92405141688110037</v>
      </c>
      <c r="M444" s="1"/>
      <c r="N444" s="1"/>
    </row>
    <row r="445" spans="1:14" x14ac:dyDescent="0.25">
      <c r="A445" s="1" t="s">
        <v>243</v>
      </c>
      <c r="B445" s="13"/>
      <c r="C445" s="13"/>
      <c r="D445" s="1"/>
      <c r="E445" s="5"/>
      <c r="F445" s="5"/>
      <c r="G445" s="5"/>
      <c r="H445" s="16">
        <f>H260/AVERAGE($G$435:$H$435)</f>
        <v>0.6219215245902574</v>
      </c>
      <c r="I445" s="16">
        <f>I260/AVERAGE($H$435:$I$435)</f>
        <v>0.63559978057859445</v>
      </c>
      <c r="J445" s="16">
        <f>J260/AVERAGE($I$435:$J$435)</f>
        <v>0.6542634619901051</v>
      </c>
      <c r="K445" s="16">
        <f>K260/AVERAGE($J$435:$K$435)</f>
        <v>0.65967625385495132</v>
      </c>
      <c r="L445" s="16">
        <f>L260/AVERAGE($K$435:$L$435)</f>
        <v>0.66231800828908804</v>
      </c>
      <c r="M445" s="1"/>
      <c r="N445" s="1"/>
    </row>
    <row r="446" spans="1:14" x14ac:dyDescent="0.25">
      <c r="A446" s="1"/>
      <c r="B446" s="13"/>
      <c r="C446" s="13"/>
      <c r="D446" s="1"/>
      <c r="E446" s="5"/>
      <c r="F446" s="5"/>
      <c r="G446" s="5"/>
      <c r="H446" s="22"/>
      <c r="I446" s="59"/>
      <c r="J446" s="18"/>
      <c r="K446" s="18"/>
      <c r="L446" s="18"/>
      <c r="M446" s="1"/>
      <c r="N446" s="1"/>
    </row>
    <row r="447" spans="1:14" s="96" customFormat="1" ht="20.100000000000001" customHeight="1" x14ac:dyDescent="0.4">
      <c r="A447" s="93" t="s">
        <v>206</v>
      </c>
      <c r="B447" s="94"/>
      <c r="C447" s="94"/>
      <c r="D447" s="94"/>
      <c r="E447" s="94"/>
      <c r="F447" s="94"/>
      <c r="G447" s="94"/>
      <c r="H447" s="95"/>
      <c r="I447" s="94"/>
      <c r="J447" s="94"/>
      <c r="K447" s="94"/>
      <c r="L447" s="94"/>
      <c r="M447" s="94"/>
      <c r="N447" s="94"/>
    </row>
    <row r="448" spans="1:14" x14ac:dyDescent="0.25">
      <c r="A448" s="10" t="s">
        <v>145</v>
      </c>
      <c r="B448" s="18"/>
      <c r="C448" s="18"/>
      <c r="D448" s="42">
        <f>D370/D396</f>
        <v>0.2088362559781371</v>
      </c>
      <c r="E448" s="42">
        <f>E370/E396</f>
        <v>0.17997980802555641</v>
      </c>
      <c r="F448" s="42">
        <f>F370/F396</f>
        <v>0.19760843129306851</v>
      </c>
      <c r="G448" s="42">
        <f>G370/G396</f>
        <v>0.25221643054441772</v>
      </c>
      <c r="H448" s="10"/>
      <c r="I448" s="10"/>
      <c r="J448" s="10"/>
      <c r="K448" s="10"/>
      <c r="L448" s="10"/>
      <c r="M448" s="18"/>
      <c r="N448" s="10"/>
    </row>
    <row r="449" spans="1:14" x14ac:dyDescent="0.25">
      <c r="A449" s="10" t="s">
        <v>259</v>
      </c>
      <c r="B449" s="18"/>
      <c r="C449" s="18"/>
      <c r="D449" s="132">
        <f>IF(D125=0, D107/0.001, D107/-D125)</f>
        <v>101.44745762711864</v>
      </c>
      <c r="E449" s="132">
        <f>IF(E125=0, E107/0.001, E107/-E125)</f>
        <v>81.376315789473679</v>
      </c>
      <c r="F449" s="132">
        <f>IF(F125=0, F107/0.001, F107/-F125)</f>
        <v>71.139860139860133</v>
      </c>
      <c r="G449" s="132">
        <f>IF(G125=0, G107/0.001, G107/-G125)</f>
        <v>55.440536013400333</v>
      </c>
      <c r="H449" s="42"/>
      <c r="I449" s="10"/>
      <c r="J449" s="10"/>
      <c r="K449" s="10"/>
      <c r="L449" s="10"/>
      <c r="M449" s="18"/>
      <c r="N449" s="10"/>
    </row>
    <row r="450" spans="1:14" x14ac:dyDescent="0.25">
      <c r="A450" s="10" t="s">
        <v>258</v>
      </c>
      <c r="B450" s="18"/>
      <c r="C450" s="18"/>
      <c r="D450" s="132">
        <f>IF(D125=0, D116/0.001, D116/-D125)</f>
        <v>92.071186440677963</v>
      </c>
      <c r="E450" s="132">
        <f>IF(E125=0, E116/0.001, E116/-E125)</f>
        <v>73.568421052631578</v>
      </c>
      <c r="F450" s="132">
        <f>IF(F125=0, F116/0.001, F116/-F125)</f>
        <v>62.386946386946384</v>
      </c>
      <c r="G450" s="132">
        <f>IF(G125=0, G116/0.001, G116/-G125)</f>
        <v>46.710217755443885</v>
      </c>
      <c r="H450" s="10"/>
      <c r="I450" s="10"/>
      <c r="J450" s="10"/>
      <c r="K450" s="10"/>
      <c r="L450" s="10"/>
      <c r="M450" s="18"/>
      <c r="N450" s="10"/>
    </row>
    <row r="451" spans="1:14" x14ac:dyDescent="0.25">
      <c r="A451" s="10" t="s">
        <v>260</v>
      </c>
      <c r="B451" s="18"/>
      <c r="C451" s="18"/>
      <c r="D451" s="42">
        <f>D370/(D370+D397)</f>
        <v>0.17275810097965336</v>
      </c>
      <c r="E451" s="42">
        <f t="shared" ref="E451:G451" si="228">E370/(E370+E397)</f>
        <v>0.15252787107155172</v>
      </c>
      <c r="F451" s="42">
        <f t="shared" si="228"/>
        <v>0.16500253850059232</v>
      </c>
      <c r="G451" s="42">
        <f t="shared" si="228"/>
        <v>0.20141600476745325</v>
      </c>
      <c r="H451" s="10"/>
      <c r="I451" s="10"/>
      <c r="J451" s="10"/>
      <c r="K451" s="10"/>
      <c r="L451" s="10"/>
      <c r="M451" s="18"/>
      <c r="N451" s="10"/>
    </row>
    <row r="452" spans="1:14" x14ac:dyDescent="0.25">
      <c r="A452" s="10" t="s">
        <v>63</v>
      </c>
      <c r="B452" s="18"/>
      <c r="C452" s="22"/>
      <c r="D452" s="22">
        <f>D370/D107</f>
        <v>0.39833595081364653</v>
      </c>
      <c r="E452" s="22">
        <f>E370/E107</f>
        <v>0.38624971703909711</v>
      </c>
      <c r="F452" s="22">
        <f>F370/F107</f>
        <v>0.51115698417379341</v>
      </c>
      <c r="G452" s="22">
        <f>G370/G107</f>
        <v>0.68418031300984949</v>
      </c>
      <c r="H452" s="16"/>
      <c r="I452" s="10"/>
      <c r="J452" s="10"/>
      <c r="K452" s="10"/>
      <c r="L452" s="10"/>
      <c r="M452" s="1"/>
      <c r="N452" s="1"/>
    </row>
    <row r="453" spans="1:14" x14ac:dyDescent="0.25">
      <c r="A453" s="10" t="s">
        <v>64</v>
      </c>
      <c r="B453" s="18"/>
      <c r="C453" s="22"/>
      <c r="D453" s="22"/>
      <c r="E453" s="22"/>
      <c r="F453" s="22"/>
      <c r="G453" s="22" t="str">
        <f>IF(G452&lt;0,"Negative",IF(G452&lt;=F452,"Positive","Negative"))</f>
        <v>Negative</v>
      </c>
      <c r="H453" s="16"/>
      <c r="I453" s="10"/>
      <c r="J453" s="10"/>
      <c r="K453" s="10"/>
      <c r="L453" s="10"/>
      <c r="M453" s="1"/>
      <c r="N453" s="1"/>
    </row>
    <row r="454" spans="1:14" x14ac:dyDescent="0.25">
      <c r="A454" s="10" t="s">
        <v>135</v>
      </c>
      <c r="B454" s="18"/>
      <c r="C454" s="18"/>
      <c r="D454" s="18"/>
      <c r="E454" s="18"/>
      <c r="F454" s="18"/>
      <c r="G454" s="16">
        <f>IF(ISERROR(AVERAGE(E440:G440)),"n/a",(AVERAGE(E440:G440)))</f>
        <v>1.0806520858577366</v>
      </c>
      <c r="H454" s="16"/>
      <c r="I454" s="33"/>
      <c r="J454" s="33"/>
      <c r="K454" s="33"/>
      <c r="L454" s="33"/>
    </row>
    <row r="455" spans="1:14" x14ac:dyDescent="0.25">
      <c r="A455" s="10" t="s">
        <v>137</v>
      </c>
      <c r="B455" s="18"/>
      <c r="C455" s="18"/>
      <c r="D455" s="18"/>
      <c r="E455" s="18"/>
      <c r="F455" s="18"/>
      <c r="G455" s="22" t="str">
        <f>IF(G440-AVERAGE(E440:G440)&gt;=0, "POSITIVE", "NEGATIVE")</f>
        <v>NEGATIVE</v>
      </c>
      <c r="H455" s="16"/>
      <c r="I455" s="33"/>
      <c r="J455" s="33"/>
      <c r="K455" s="33"/>
      <c r="L455" s="33"/>
    </row>
    <row r="456" spans="1:14" x14ac:dyDescent="0.25">
      <c r="A456" s="10"/>
      <c r="B456" s="18"/>
      <c r="C456" s="18"/>
      <c r="D456" s="18"/>
      <c r="E456" s="18"/>
      <c r="F456" s="18"/>
      <c r="G456" s="22"/>
      <c r="H456" s="16"/>
      <c r="I456" s="33"/>
      <c r="J456" s="33"/>
      <c r="K456" s="33"/>
      <c r="L456" s="33"/>
    </row>
    <row r="457" spans="1:14" x14ac:dyDescent="0.25">
      <c r="A457" s="10"/>
      <c r="B457" s="18"/>
      <c r="C457" s="18"/>
      <c r="D457" s="18"/>
      <c r="E457" s="18"/>
      <c r="F457" s="18"/>
      <c r="G457" s="22"/>
      <c r="H457" s="16"/>
      <c r="I457" s="33"/>
      <c r="J457" s="33"/>
      <c r="K457" s="33"/>
      <c r="L457" s="33"/>
    </row>
    <row r="458" spans="1:14" x14ac:dyDescent="0.25">
      <c r="A458" s="10" t="s">
        <v>68</v>
      </c>
      <c r="B458" s="18"/>
      <c r="C458" s="18"/>
      <c r="D458" s="18"/>
      <c r="E458" s="18"/>
      <c r="F458" s="18"/>
      <c r="G458" s="16">
        <v>1.2166666666666668E-2</v>
      </c>
      <c r="H458" s="99" t="s">
        <v>171</v>
      </c>
      <c r="I458" s="33"/>
      <c r="J458" s="33"/>
      <c r="K458" s="33"/>
      <c r="L458" s="33"/>
    </row>
    <row r="459" spans="1:14" x14ac:dyDescent="0.25">
      <c r="B459" s="14"/>
      <c r="C459" s="14"/>
    </row>
    <row r="460" spans="1:14" s="96" customFormat="1" ht="20.100000000000001" customHeight="1" x14ac:dyDescent="0.4">
      <c r="A460" s="93" t="s">
        <v>207</v>
      </c>
      <c r="B460" s="94"/>
      <c r="C460" s="94"/>
      <c r="D460" s="94"/>
      <c r="E460" s="94"/>
      <c r="F460" s="94"/>
      <c r="G460" s="94"/>
      <c r="H460" s="95"/>
      <c r="I460" s="94"/>
      <c r="J460" s="94"/>
      <c r="K460" s="94"/>
      <c r="L460" s="94"/>
      <c r="M460" s="94"/>
      <c r="N460" s="94"/>
    </row>
    <row r="461" spans="1:14" x14ac:dyDescent="0.25">
      <c r="A461" s="10" t="s">
        <v>121</v>
      </c>
      <c r="B461" s="18"/>
      <c r="C461" s="18"/>
      <c r="D461" s="10"/>
      <c r="E461" s="10"/>
      <c r="F461" s="10"/>
      <c r="G461" s="53">
        <f>STDEV(D70:G70)</f>
        <v>7255.3059204970814</v>
      </c>
      <c r="H461" s="10"/>
      <c r="I461" s="44">
        <f>MAX(D70:G70)-MIN(D70:G70)</f>
        <v>16890</v>
      </c>
      <c r="J461" s="10" t="s">
        <v>166</v>
      </c>
      <c r="K461" s="10"/>
      <c r="L461" s="10"/>
    </row>
    <row r="462" spans="1:14" x14ac:dyDescent="0.25">
      <c r="A462" s="10" t="s">
        <v>123</v>
      </c>
      <c r="B462" s="18"/>
      <c r="C462" s="18"/>
      <c r="D462" s="18">
        <f>G462/4</f>
        <v>2.0888676886947018E-2</v>
      </c>
      <c r="E462" s="10">
        <f>D462*2</f>
        <v>4.1777353773894035E-2</v>
      </c>
      <c r="F462" s="10">
        <f>D462*3</f>
        <v>6.266603066084106E-2</v>
      </c>
      <c r="G462" s="11">
        <f>MIN(ABS(G461/G70), 0.5)</f>
        <v>8.3554707547788071E-2</v>
      </c>
      <c r="H462" s="12">
        <f>G462+D462</f>
        <v>0.10444338443473508</v>
      </c>
      <c r="I462" s="12">
        <f>I461/G70</f>
        <v>0.19451130330634667</v>
      </c>
      <c r="J462" s="10"/>
      <c r="K462" s="10"/>
      <c r="L462" s="10"/>
    </row>
    <row r="463" spans="1:14" x14ac:dyDescent="0.25">
      <c r="A463" s="10"/>
      <c r="B463" s="18"/>
      <c r="C463" s="18"/>
      <c r="D463" s="10"/>
      <c r="E463" s="10"/>
      <c r="F463" s="10"/>
      <c r="G463" s="10"/>
      <c r="H463" s="10"/>
      <c r="I463" s="10"/>
      <c r="J463" s="10"/>
      <c r="K463" s="10"/>
      <c r="L463" s="10"/>
    </row>
    <row r="464" spans="1:14" x14ac:dyDescent="0.25">
      <c r="A464" s="10" t="s">
        <v>122</v>
      </c>
      <c r="B464" s="18"/>
      <c r="C464" s="18"/>
      <c r="D464" s="10"/>
      <c r="E464" s="10"/>
      <c r="F464" s="10"/>
      <c r="G464" s="20">
        <f>STDEV(D80:G80)</f>
        <v>2334.7066196847945</v>
      </c>
      <c r="H464" s="10"/>
      <c r="I464" s="19">
        <f>MAX(D80:G80)-MIN(D80:G80)</f>
        <v>5533</v>
      </c>
      <c r="J464" s="10" t="s">
        <v>166</v>
      </c>
      <c r="K464" s="10"/>
      <c r="L464" s="10"/>
    </row>
    <row r="465" spans="1:12" x14ac:dyDescent="0.25">
      <c r="A465" s="10" t="s">
        <v>124</v>
      </c>
      <c r="B465" s="18"/>
      <c r="C465" s="18"/>
      <c r="D465" s="18">
        <f>G465/4</f>
        <v>9.7443472331958571E-3</v>
      </c>
      <c r="E465" s="10">
        <f>D465*2</f>
        <v>1.9488694466391714E-2</v>
      </c>
      <c r="F465" s="10">
        <f>D465*3</f>
        <v>2.923304169958757E-2</v>
      </c>
      <c r="G465" s="11">
        <f>MIN(ABS(G464/G80), 0.5)</f>
        <v>3.8977388932783429E-2</v>
      </c>
      <c r="H465" s="12">
        <f>G465+D465</f>
        <v>4.8721736165979287E-2</v>
      </c>
      <c r="I465" s="12">
        <f>I464/G80</f>
        <v>9.2372159802333931E-2</v>
      </c>
      <c r="J465" s="10"/>
      <c r="K465" s="10"/>
      <c r="L465" s="10"/>
    </row>
    <row r="466" spans="1:12" x14ac:dyDescent="0.25">
      <c r="A466" s="10"/>
      <c r="B466" s="18"/>
      <c r="C466" s="18"/>
      <c r="D466" s="10"/>
      <c r="E466" s="10"/>
      <c r="F466" s="10"/>
      <c r="G466" s="10"/>
      <c r="H466" s="10"/>
      <c r="I466" s="10"/>
      <c r="J466" s="10"/>
      <c r="K466" s="10"/>
      <c r="L466" s="10"/>
    </row>
    <row r="467" spans="1:12" x14ac:dyDescent="0.25">
      <c r="A467" s="10" t="s">
        <v>125</v>
      </c>
      <c r="B467" s="18"/>
      <c r="C467" s="18"/>
      <c r="D467" s="10"/>
      <c r="E467" s="10"/>
      <c r="F467" s="10"/>
      <c r="G467" s="53">
        <f>STDEV(D241:G241)</f>
        <v>3534.5076528443096</v>
      </c>
      <c r="H467" s="10"/>
      <c r="I467" s="10"/>
      <c r="J467" s="10"/>
      <c r="K467" s="10"/>
      <c r="L467" s="10"/>
    </row>
    <row r="468" spans="1:12" x14ac:dyDescent="0.25">
      <c r="A468" s="10" t="s">
        <v>126</v>
      </c>
      <c r="B468" s="18"/>
      <c r="D468" s="18">
        <f>G468/4</f>
        <v>3.2997787834184084E-2</v>
      </c>
      <c r="E468" s="10">
        <f>D468*2</f>
        <v>6.5995575668368167E-2</v>
      </c>
      <c r="F468" s="10">
        <f>D468*3</f>
        <v>9.8993363502552251E-2</v>
      </c>
      <c r="G468" s="11">
        <f>MIN(ABS(G467/G241), 0.5)</f>
        <v>0.13199115133673633</v>
      </c>
      <c r="H468" s="12">
        <f>G468+D468</f>
        <v>0.16498893917092042</v>
      </c>
      <c r="I468" s="10"/>
      <c r="J468" s="10"/>
      <c r="K468" s="10"/>
      <c r="L468" s="10"/>
    </row>
    <row r="469" spans="1:12" x14ac:dyDescent="0.25">
      <c r="A469" s="10"/>
      <c r="B469" s="18"/>
      <c r="C469" s="18"/>
      <c r="D469" s="10"/>
      <c r="E469" s="10"/>
      <c r="F469" s="10"/>
      <c r="G469" s="16"/>
      <c r="H469" s="10"/>
      <c r="I469" s="10"/>
      <c r="J469" s="10"/>
      <c r="K469" s="10"/>
      <c r="L469" s="10"/>
    </row>
    <row r="470" spans="1:12" x14ac:dyDescent="0.25">
      <c r="A470" s="10" t="s">
        <v>70</v>
      </c>
      <c r="B470" s="18"/>
      <c r="C470" s="18"/>
      <c r="D470" s="10"/>
      <c r="E470" s="10"/>
      <c r="F470" s="10"/>
      <c r="G470" s="53">
        <f>STDEV(D255:G255)</f>
        <v>2214.5637443094538</v>
      </c>
      <c r="H470" s="10"/>
      <c r="I470" s="10"/>
      <c r="J470" s="10"/>
      <c r="K470" s="10"/>
      <c r="L470" s="10"/>
    </row>
    <row r="471" spans="1:12" x14ac:dyDescent="0.25">
      <c r="A471" s="10" t="s">
        <v>127</v>
      </c>
      <c r="B471" s="18"/>
      <c r="C471" s="18"/>
      <c r="D471" s="10"/>
      <c r="E471" s="10"/>
      <c r="F471" s="10"/>
      <c r="G471" s="11">
        <f>MIN(ABS(G470/G255),0.5)</f>
        <v>0.10710603140192083</v>
      </c>
      <c r="H471" s="10"/>
      <c r="I471" s="10"/>
      <c r="J471" s="10"/>
      <c r="K471" s="10"/>
      <c r="L471" s="10"/>
    </row>
    <row r="472" spans="1:12" x14ac:dyDescent="0.25">
      <c r="A472" s="10"/>
      <c r="B472" s="18" t="s">
        <v>174</v>
      </c>
      <c r="C472" s="18"/>
      <c r="D472" s="10"/>
      <c r="E472" s="10"/>
      <c r="F472" s="10"/>
      <c r="G472" s="10"/>
      <c r="H472" s="10"/>
      <c r="I472" s="10"/>
      <c r="J472" s="10"/>
      <c r="K472" s="10"/>
      <c r="L472" s="10"/>
    </row>
    <row r="473" spans="1:12" x14ac:dyDescent="0.25">
      <c r="A473" s="10"/>
      <c r="B473" s="18"/>
      <c r="C473" s="18"/>
      <c r="D473" s="10"/>
      <c r="E473" s="10" t="s">
        <v>144</v>
      </c>
      <c r="F473" s="10"/>
      <c r="G473" s="10">
        <v>-0.1</v>
      </c>
      <c r="H473" s="10"/>
      <c r="I473" s="10" t="s">
        <v>139</v>
      </c>
      <c r="J473" s="10"/>
      <c r="K473" s="10" t="s">
        <v>141</v>
      </c>
      <c r="L473" s="10"/>
    </row>
    <row r="474" spans="1:12" x14ac:dyDescent="0.25">
      <c r="A474" s="10"/>
      <c r="B474" s="18"/>
      <c r="C474" s="18"/>
      <c r="D474" s="10"/>
      <c r="E474" s="10"/>
      <c r="F474" s="10"/>
      <c r="G474" s="10"/>
      <c r="H474" s="10"/>
      <c r="I474" s="10" t="s">
        <v>152</v>
      </c>
      <c r="J474" s="10"/>
      <c r="K474" s="10">
        <v>1.3</v>
      </c>
      <c r="L474" s="10"/>
    </row>
    <row r="475" spans="1:12" x14ac:dyDescent="0.25">
      <c r="A475" s="10" t="s">
        <v>71</v>
      </c>
      <c r="B475" s="18"/>
      <c r="C475" s="18"/>
      <c r="D475" s="10"/>
      <c r="E475" s="10"/>
      <c r="F475" s="10"/>
      <c r="G475" s="11">
        <v>0.2</v>
      </c>
      <c r="H475" s="10"/>
      <c r="I475" s="10" t="s">
        <v>153</v>
      </c>
      <c r="J475" s="10"/>
      <c r="K475" s="10">
        <v>1.1499999999999999</v>
      </c>
      <c r="L475" s="10">
        <v>0.4</v>
      </c>
    </row>
    <row r="476" spans="1:12" x14ac:dyDescent="0.25">
      <c r="A476" s="10" t="s">
        <v>72</v>
      </c>
      <c r="B476" s="18"/>
      <c r="C476" s="18"/>
      <c r="D476" s="10"/>
      <c r="F476" s="80" t="s">
        <v>163</v>
      </c>
      <c r="G476" s="17">
        <v>6.5000000000000002E-2</v>
      </c>
      <c r="H476" s="10"/>
      <c r="I476" s="10" t="s">
        <v>154</v>
      </c>
      <c r="J476" s="10"/>
      <c r="K476" s="10">
        <v>1</v>
      </c>
      <c r="L476" s="10">
        <v>0.3</v>
      </c>
    </row>
    <row r="477" spans="1:12" x14ac:dyDescent="0.25">
      <c r="A477" s="1"/>
      <c r="B477" s="13"/>
      <c r="C477" s="13"/>
      <c r="D477" s="1"/>
      <c r="E477" s="1"/>
      <c r="F477" s="1"/>
      <c r="G477" s="1"/>
      <c r="H477" s="1"/>
      <c r="I477" s="1" t="s">
        <v>155</v>
      </c>
      <c r="J477" s="1"/>
      <c r="K477" s="1">
        <v>0.85</v>
      </c>
      <c r="L477" s="1">
        <v>0.2</v>
      </c>
    </row>
    <row r="478" spans="1:12" x14ac:dyDescent="0.25">
      <c r="A478" s="1" t="s">
        <v>87</v>
      </c>
      <c r="B478" s="13"/>
      <c r="C478" s="13"/>
      <c r="D478" s="1"/>
      <c r="E478" s="1"/>
      <c r="F478" s="1"/>
      <c r="G478" s="34">
        <v>0.85</v>
      </c>
      <c r="H478" s="1"/>
      <c r="I478" s="1"/>
      <c r="J478" s="1"/>
      <c r="K478" s="1"/>
      <c r="L478" s="1"/>
    </row>
    <row r="479" spans="1:12" x14ac:dyDescent="0.25">
      <c r="A479" s="9" t="s">
        <v>54</v>
      </c>
      <c r="B479" s="39"/>
      <c r="C479" s="39"/>
      <c r="D479" s="9"/>
      <c r="E479" s="9"/>
      <c r="F479" s="9"/>
      <c r="G479" s="139">
        <v>9.8410999999999998E-2</v>
      </c>
      <c r="H479" s="9"/>
      <c r="I479" s="9"/>
      <c r="J479" s="9"/>
      <c r="K479" s="9"/>
      <c r="L479" s="9"/>
    </row>
    <row r="480" spans="1:12" x14ac:dyDescent="0.25">
      <c r="A480" s="1"/>
      <c r="B480" s="1"/>
      <c r="C480" s="1"/>
      <c r="D480" s="1"/>
      <c r="E480" s="1"/>
      <c r="F480" s="1"/>
      <c r="G480" s="1"/>
      <c r="H480" s="1"/>
      <c r="I480" s="1"/>
      <c r="J480" s="1"/>
      <c r="K480" s="1"/>
      <c r="L480" s="1"/>
    </row>
    <row r="481" spans="1:12" hidden="1" x14ac:dyDescent="0.25">
      <c r="A481" s="1" t="s">
        <v>248</v>
      </c>
      <c r="D481" s="18">
        <f>G481/4</f>
        <v>1.899642374475503E-2</v>
      </c>
      <c r="E481" s="10">
        <f>D481*2</f>
        <v>3.7992847489510061E-2</v>
      </c>
      <c r="F481" s="10">
        <f>D481*3</f>
        <v>5.6989271234265088E-2</v>
      </c>
      <c r="G481">
        <f>MIN(ABS(STDEV(D279:G279))/G279,0.5)</f>
        <v>7.5985694979020121E-2</v>
      </c>
      <c r="H481" s="12">
        <f>G481+D481</f>
        <v>9.4982118723775155E-2</v>
      </c>
    </row>
    <row r="482" spans="1:12" hidden="1" x14ac:dyDescent="0.25">
      <c r="A482" s="1"/>
    </row>
    <row r="483" spans="1:12" hidden="1" x14ac:dyDescent="0.25">
      <c r="A483" s="1" t="s">
        <v>249</v>
      </c>
      <c r="D483" s="18">
        <f>G483/4</f>
        <v>2.0939082440226509E-2</v>
      </c>
      <c r="E483" s="10">
        <f>D483*2</f>
        <v>4.1878164880453018E-2</v>
      </c>
      <c r="F483" s="10">
        <f>D483*3</f>
        <v>6.2817247320679531E-2</v>
      </c>
      <c r="G483">
        <f>MIN(ABS(STDEV(D312:G312))/G312,0.5)</f>
        <v>8.3756329760906037E-2</v>
      </c>
      <c r="H483" s="12">
        <f>G483+D483</f>
        <v>0.10469541220113254</v>
      </c>
    </row>
    <row r="484" spans="1:12" hidden="1" x14ac:dyDescent="0.25"/>
    <row r="485" spans="1:12" hidden="1" x14ac:dyDescent="0.25">
      <c r="A485" s="65" t="s">
        <v>278</v>
      </c>
      <c r="D485" s="18">
        <f>G485/4</f>
        <v>1.0444096407042427E-2</v>
      </c>
      <c r="E485" s="10">
        <f>D485*2</f>
        <v>2.0888192814084855E-2</v>
      </c>
      <c r="F485" s="10">
        <f>D485*3</f>
        <v>3.1332289221127282E-2</v>
      </c>
      <c r="G485">
        <f>MIN(ABS(STDEV(D107:G107))/G107, 0.5)</f>
        <v>4.177638562816971E-2</v>
      </c>
      <c r="H485" s="12">
        <f>G485+D485</f>
        <v>5.2220482035212137E-2</v>
      </c>
    </row>
    <row r="486" spans="1:12" hidden="1" x14ac:dyDescent="0.25"/>
    <row r="487" spans="1:12" hidden="1" x14ac:dyDescent="0.25">
      <c r="A487" s="65" t="s">
        <v>279</v>
      </c>
      <c r="D487" s="18">
        <f>G487/4</f>
        <v>3.1151191118390625E-2</v>
      </c>
      <c r="E487" s="10">
        <f>D487*2</f>
        <v>6.2302382236781251E-2</v>
      </c>
      <c r="F487" s="10">
        <f>D487*3</f>
        <v>9.3453573355171876E-2</v>
      </c>
      <c r="G487">
        <f>MIN(ABS(STDEV(D167:G167))/G167, 0.5)</f>
        <v>0.1246047644735625</v>
      </c>
      <c r="H487" s="12">
        <f>G487+D487</f>
        <v>0.15575595559195313</v>
      </c>
    </row>
    <row r="488" spans="1:12" hidden="1" x14ac:dyDescent="0.25"/>
    <row r="489" spans="1:12" hidden="1" x14ac:dyDescent="0.25">
      <c r="A489" s="65" t="s">
        <v>250</v>
      </c>
      <c r="H489" s="68">
        <f>H279*(1+D481)</f>
        <v>28823.212667962052</v>
      </c>
      <c r="I489" s="68">
        <f>I279*(1+E481)</f>
        <v>32415.444223248858</v>
      </c>
      <c r="J489" s="68">
        <f>J279*(1+F481)</f>
        <v>34970.505801922132</v>
      </c>
      <c r="K489" s="68">
        <f>K279*(1+G481)</f>
        <v>38525.148174998649</v>
      </c>
      <c r="L489" s="68">
        <f>L279*(1+H481)</f>
        <v>41840.197526104224</v>
      </c>
    </row>
    <row r="490" spans="1:12" hidden="1" x14ac:dyDescent="0.25">
      <c r="A490" s="1" t="s">
        <v>251</v>
      </c>
      <c r="H490" s="68">
        <f>H279*(1-D481)</f>
        <v>27748.551464513217</v>
      </c>
      <c r="I490" s="68">
        <f>I279*(1-E481)</f>
        <v>30042.489473787424</v>
      </c>
      <c r="J490" s="68">
        <f>J279*(1-F481)</f>
        <v>31199.524024561262</v>
      </c>
      <c r="K490" s="68">
        <f>K279*(1-G481)</f>
        <v>33083.885950217715</v>
      </c>
      <c r="L490" s="68">
        <f>L279*(1-H481)</f>
        <v>34581.502537582404</v>
      </c>
    </row>
    <row r="491" spans="1:12" hidden="1" x14ac:dyDescent="0.25">
      <c r="H491" s="68"/>
      <c r="I491" s="68"/>
      <c r="J491" s="68"/>
      <c r="K491" s="68"/>
      <c r="L491" s="68"/>
    </row>
    <row r="492" spans="1:12" hidden="1" x14ac:dyDescent="0.25">
      <c r="A492" s="65" t="s">
        <v>252</v>
      </c>
      <c r="H492" s="68">
        <f>H312*(1+D483)</f>
        <v>22810.16408303583</v>
      </c>
      <c r="I492" s="68">
        <f>I312*(1+E483)</f>
        <v>26065.667585912706</v>
      </c>
      <c r="J492" s="68">
        <f>J312*(1+F483)</f>
        <v>28329.544484468777</v>
      </c>
      <c r="K492" s="68">
        <f>K312*(1+G483)</f>
        <v>31712.751736617298</v>
      </c>
      <c r="L492" s="68">
        <f>L312*(1+H483)</f>
        <v>34971.37522353114</v>
      </c>
    </row>
    <row r="493" spans="1:12" hidden="1" x14ac:dyDescent="0.25">
      <c r="A493" s="65" t="s">
        <v>253</v>
      </c>
      <c r="H493" s="68">
        <f>H312*(1-D483)</f>
        <v>21874.508049439442</v>
      </c>
      <c r="I493" s="68">
        <f>I312*(1-E483)</f>
        <v>23970.254971123566</v>
      </c>
      <c r="J493" s="68">
        <f>J312*(1-F483)</f>
        <v>24980.739208962892</v>
      </c>
      <c r="K493" s="68">
        <f>K312*(1-G483)</f>
        <v>26811.01576675431</v>
      </c>
      <c r="L493" s="68">
        <f>L312*(1-H483)</f>
        <v>28342.683723902748</v>
      </c>
    </row>
    <row r="494" spans="1:12" hidden="1" x14ac:dyDescent="0.25">
      <c r="H494" s="68"/>
      <c r="I494" s="68"/>
      <c r="J494" s="68"/>
      <c r="K494" s="68"/>
      <c r="L494" s="68"/>
    </row>
    <row r="495" spans="1:12" hidden="1" x14ac:dyDescent="0.25">
      <c r="A495" s="65" t="s">
        <v>280</v>
      </c>
      <c r="H495" s="68">
        <f>$H$167*(1+$D$487)</f>
        <v>21164.367794205122</v>
      </c>
      <c r="I495" s="68">
        <f>$I$167*(1+$E$487)</f>
        <v>23836.239052761481</v>
      </c>
      <c r="J495" s="68">
        <f>$J$167*(1+$F$487)</f>
        <v>27102.733976812196</v>
      </c>
      <c r="K495" s="68">
        <f>$K$167*(1+$G$487)</f>
        <v>30282.432900161879</v>
      </c>
      <c r="L495" s="68">
        <f>$L$167*(1+$H$487)</f>
        <v>33305.233968911802</v>
      </c>
    </row>
    <row r="496" spans="1:12" hidden="1" x14ac:dyDescent="0.25">
      <c r="A496" s="65" t="s">
        <v>281</v>
      </c>
      <c r="H496" s="68">
        <f>$H$167*(1-$D$487)</f>
        <v>19885.612027376941</v>
      </c>
      <c r="I496" s="68">
        <f>$I$167*(1-$E$487)</f>
        <v>21040.322369555874</v>
      </c>
      <c r="J496" s="68">
        <f>$J$167*(1-$F$487)</f>
        <v>22469.986140878213</v>
      </c>
      <c r="K496" s="68">
        <f>$K$167*(1-$G$487)</f>
        <v>23571.923504485501</v>
      </c>
      <c r="L496" s="68">
        <f>$L$167*(1-$H$487)</f>
        <v>24328.445196260367</v>
      </c>
    </row>
    <row r="498" spans="1:1" x14ac:dyDescent="0.25">
      <c r="A498" t="s">
        <v>454</v>
      </c>
    </row>
  </sheetData>
  <phoneticPr fontId="7" type="noConversion"/>
  <pageMargins left="0.75" right="0.75" top="1" bottom="1" header="0.5" footer="0.5"/>
  <pageSetup orientation="portrait" vertic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
  <sheetViews>
    <sheetView workbookViewId="0">
      <selection sqref="A1:T3"/>
    </sheetView>
  </sheetViews>
  <sheetFormatPr defaultColWidth="9.109375" defaultRowHeight="13.2" x14ac:dyDescent="0.25"/>
  <cols>
    <col min="1" max="16384" width="9.109375" style="142"/>
  </cols>
  <sheetData>
    <row r="1" spans="1:20" x14ac:dyDescent="0.25">
      <c r="A1" s="195" t="s">
        <v>454</v>
      </c>
      <c r="B1" s="196"/>
      <c r="C1" s="196"/>
      <c r="D1" s="196"/>
      <c r="E1" s="196"/>
      <c r="F1" s="196"/>
      <c r="G1" s="196"/>
      <c r="H1" s="196"/>
      <c r="I1" s="196"/>
      <c r="J1" s="196"/>
      <c r="K1" s="196"/>
      <c r="L1" s="196"/>
      <c r="M1" s="196"/>
      <c r="N1" s="196"/>
      <c r="O1" s="196"/>
      <c r="P1" s="196"/>
      <c r="Q1" s="196"/>
      <c r="R1" s="196"/>
      <c r="S1" s="196"/>
      <c r="T1" s="196"/>
    </row>
    <row r="2" spans="1:20" x14ac:dyDescent="0.25">
      <c r="A2" s="196"/>
      <c r="B2" s="196"/>
      <c r="C2" s="196"/>
      <c r="D2" s="196"/>
      <c r="E2" s="196"/>
      <c r="F2" s="196"/>
      <c r="G2" s="196"/>
      <c r="H2" s="196"/>
      <c r="I2" s="196"/>
      <c r="J2" s="196"/>
      <c r="K2" s="196"/>
      <c r="L2" s="196"/>
      <c r="M2" s="196"/>
      <c r="N2" s="196"/>
      <c r="O2" s="196"/>
      <c r="P2" s="196"/>
      <c r="Q2" s="196"/>
      <c r="R2" s="196"/>
      <c r="S2" s="196"/>
      <c r="T2" s="196"/>
    </row>
    <row r="3" spans="1:20" x14ac:dyDescent="0.25">
      <c r="A3" s="196"/>
      <c r="B3" s="196"/>
      <c r="C3" s="196"/>
      <c r="D3" s="196"/>
      <c r="E3" s="196"/>
      <c r="F3" s="196"/>
      <c r="G3" s="196"/>
      <c r="H3" s="196"/>
      <c r="I3" s="196"/>
      <c r="J3" s="196"/>
      <c r="K3" s="196"/>
      <c r="L3" s="196"/>
      <c r="M3" s="196"/>
      <c r="N3" s="196"/>
      <c r="O3" s="196"/>
      <c r="P3" s="196"/>
      <c r="Q3" s="196"/>
      <c r="R3" s="196"/>
      <c r="S3" s="196"/>
      <c r="T3" s="196"/>
    </row>
  </sheetData>
  <mergeCells count="1">
    <mergeCell ref="A1:T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Annual</vt:lpstr>
      <vt:lpstr>Model</vt:lpstr>
      <vt:lpstr>Disclaimer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Libis</dc:creator>
  <cp:lastModifiedBy>Valuentum</cp:lastModifiedBy>
  <cp:lastPrinted>2015-10-23T14:40:39Z</cp:lastPrinted>
  <dcterms:created xsi:type="dcterms:W3CDTF">2011-01-29T15:08:57Z</dcterms:created>
  <dcterms:modified xsi:type="dcterms:W3CDTF">2016-08-25T18:25:03Z</dcterms:modified>
</cp:coreProperties>
</file>